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vwfs063\R307$\wiegandta\Desktop\"/>
    </mc:Choice>
  </mc:AlternateContent>
  <bookViews>
    <workbookView xWindow="0" yWindow="0" windowWidth="23040" windowHeight="9225" tabRatio="591"/>
  </bookViews>
  <sheets>
    <sheet name="CO2-Rechner" sheetId="5" r:id="rId1"/>
  </sheets>
  <definedNames>
    <definedName name="Antrieb">'CO2-Rechner'!$K$126:$K$130</definedName>
    <definedName name="AnzahlFz">'CO2-Rechner'!$L$126:$L$136</definedName>
    <definedName name="Beschaffung">'CO2-Rechner'!$J$126:$J$128</definedName>
    <definedName name="Beschaffung_Infrastruktur">'CO2-Rechner'!$R$126:$R$130</definedName>
    <definedName name="_xlnm.Print_Area" localSheetId="0">'CO2-Rechner'!$A$1:$H$96</definedName>
    <definedName name="Fahrzeugtyp">'CO2-Rechner'!$C$126:$C$135</definedName>
    <definedName name="Gastyp">'CO2-Rechner'!$M$126:$M$129</definedName>
    <definedName name="KaufLeasingMiete">'CO2-Rechner'!$Q$126:$Q$128</definedName>
    <definedName name="Kraftstoffart">'CO2-Rechner'!$D$126:$D$129</definedName>
    <definedName name="QuelleWerte">'CO2-Rechner'!$I$126:$I$129</definedName>
    <definedName name="Stromart">'CO2-Rechner'!$G$126:$G$129</definedName>
    <definedName name="Vorsteuerabzugsberechtigung">'CO2-Rechner'!$N$126:$N$128</definedName>
    <definedName name="Wasserstoffmix">'CO2-Rechner'!$O$126:$O$129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2" i="5" l="1"/>
  <c r="F14" i="5"/>
  <c r="F43" i="5" l="1"/>
  <c r="C25" i="5"/>
  <c r="F49" i="5"/>
  <c r="C29" i="5"/>
  <c r="C66" i="5"/>
  <c r="F66" i="5" s="1"/>
  <c r="D66" i="5" s="1"/>
  <c r="C67" i="5"/>
  <c r="F67" i="5" s="1"/>
  <c r="C65" i="5"/>
  <c r="C14" i="5"/>
  <c r="I142" i="5" l="1"/>
  <c r="I143" i="5"/>
  <c r="F11" i="5"/>
  <c r="D67" i="5" l="1"/>
  <c r="F62" i="5"/>
  <c r="D14" i="5"/>
  <c r="D11" i="5"/>
  <c r="F60" i="5"/>
  <c r="D65" i="5" l="1"/>
  <c r="D25" i="5"/>
  <c r="D40" i="5"/>
  <c r="D13" i="5"/>
  <c r="D12" i="5"/>
  <c r="D10" i="5"/>
  <c r="D6" i="5"/>
  <c r="C26" i="5"/>
  <c r="V125" i="5"/>
  <c r="F31" i="5"/>
  <c r="C11" i="5"/>
  <c r="C28" i="5"/>
  <c r="D62" i="5" l="1"/>
  <c r="D61" i="5"/>
  <c r="W125" i="5"/>
  <c r="W134" i="5"/>
  <c r="W133" i="5"/>
  <c r="W132" i="5"/>
  <c r="F65" i="5"/>
  <c r="F46" i="5" l="1"/>
  <c r="F52" i="5"/>
  <c r="F55" i="5"/>
  <c r="I163" i="5" l="1"/>
  <c r="I162" i="5"/>
  <c r="I156" i="5"/>
  <c r="I158" i="5" s="1"/>
  <c r="I150" i="5"/>
  <c r="I146" i="5"/>
  <c r="P129" i="5" s="1"/>
  <c r="I145" i="5"/>
  <c r="D119" i="5"/>
  <c r="D117" i="5"/>
  <c r="D118" i="5"/>
  <c r="D121" i="5"/>
  <c r="D120" i="5"/>
  <c r="I151" i="5" l="1"/>
  <c r="I147" i="5"/>
  <c r="I153" i="5" s="1"/>
  <c r="P128" i="5"/>
  <c r="X142" i="5" s="1"/>
  <c r="I164" i="5"/>
  <c r="I152" i="5"/>
  <c r="D49" i="5"/>
  <c r="D52" i="5"/>
  <c r="D46" i="5"/>
  <c r="D55" i="5"/>
  <c r="F61" i="5"/>
  <c r="D60" i="5"/>
  <c r="Z142" i="5"/>
  <c r="Z141" i="5"/>
  <c r="Z140" i="5"/>
  <c r="Z139" i="5"/>
  <c r="C47" i="5"/>
  <c r="F47" i="5" s="1"/>
  <c r="C39" i="5"/>
  <c r="D22" i="5"/>
  <c r="D23" i="5"/>
  <c r="D24" i="5"/>
  <c r="D31" i="5"/>
  <c r="D41" i="5"/>
  <c r="D42" i="5"/>
  <c r="V144" i="5"/>
  <c r="W144" i="5"/>
  <c r="X139" i="5"/>
  <c r="C42" i="5"/>
  <c r="C41" i="5"/>
  <c r="C43" i="5"/>
  <c r="E43" i="5"/>
  <c r="C57" i="5"/>
  <c r="D57" i="5" s="1"/>
  <c r="C56" i="5"/>
  <c r="F56" i="5" s="1"/>
  <c r="C54" i="5"/>
  <c r="D54" i="5" s="1"/>
  <c r="C53" i="5"/>
  <c r="F53" i="5" s="1"/>
  <c r="C51" i="5"/>
  <c r="D51" i="5" s="1"/>
  <c r="C50" i="5"/>
  <c r="F50" i="5" s="1"/>
  <c r="C48" i="5"/>
  <c r="D48" i="5" s="1"/>
  <c r="E53" i="5"/>
  <c r="G120" i="5"/>
  <c r="H120" i="5"/>
  <c r="I120" i="5"/>
  <c r="J120" i="5"/>
  <c r="K120" i="5"/>
  <c r="L120" i="5"/>
  <c r="M120" i="5"/>
  <c r="N120" i="5"/>
  <c r="F120" i="5"/>
  <c r="V133" i="5" l="1"/>
  <c r="V134" i="5" s="1"/>
  <c r="F54" i="5"/>
  <c r="V141" i="5"/>
  <c r="C31" i="5" l="1"/>
  <c r="V136" i="5" l="1"/>
  <c r="N116" i="5"/>
  <c r="M116" i="5"/>
  <c r="L116" i="5"/>
  <c r="K116" i="5"/>
  <c r="J116" i="5"/>
  <c r="I116" i="5"/>
  <c r="H116" i="5"/>
  <c r="G116" i="5"/>
  <c r="F116" i="5"/>
  <c r="E116" i="5"/>
  <c r="E50" i="5" s="1"/>
  <c r="F117" i="5"/>
  <c r="F51" i="5" l="1"/>
  <c r="V140" i="5"/>
  <c r="E56" i="5"/>
  <c r="F57" i="5" s="1"/>
  <c r="E47" i="5"/>
  <c r="V142" i="5" l="1"/>
  <c r="Y142" i="5" s="1"/>
  <c r="V139" i="5"/>
  <c r="Y139" i="5" s="1"/>
  <c r="F48" i="5"/>
  <c r="C19" i="5"/>
  <c r="E45" i="5" l="1"/>
  <c r="D45" i="5" s="1"/>
  <c r="T147" i="5" s="1"/>
  <c r="E127" i="5"/>
  <c r="X141" i="5" s="1"/>
  <c r="Y141" i="5" s="1"/>
  <c r="E129" i="5"/>
  <c r="E128" i="5"/>
  <c r="X140" i="5" s="1"/>
  <c r="Y140" i="5" s="1"/>
  <c r="X144" i="5" l="1"/>
  <c r="Y144" i="5" s="1"/>
  <c r="F24" i="5"/>
  <c r="E74" i="5" l="1"/>
  <c r="Y143" i="5"/>
  <c r="E75" i="5" s="1"/>
  <c r="C76" i="5" l="1"/>
  <c r="C77" i="5"/>
  <c r="E76" i="5"/>
  <c r="E78" i="5" l="1"/>
  <c r="E79" i="5" s="1"/>
  <c r="E80" i="5" s="1"/>
  <c r="E77" i="5"/>
</calcChain>
</file>

<file path=xl/comments1.xml><?xml version="1.0" encoding="utf-8"?>
<comments xmlns="http://schemas.openxmlformats.org/spreadsheetml/2006/main">
  <authors>
    <author>Ledoujet, Brieg</author>
  </authors>
  <commentList>
    <comment ref="C102" authorId="0" shapeId="0">
      <text>
        <r>
          <rPr>
            <b/>
            <sz val="9"/>
            <color indexed="81"/>
            <rFont val="Segoe UI"/>
            <family val="2"/>
          </rPr>
          <t>Ledoujet, Brieg:</t>
        </r>
        <r>
          <rPr>
            <sz val="9"/>
            <color indexed="81"/>
            <rFont val="Segoe UI"/>
            <family val="2"/>
          </rPr>
          <t xml:space="preserve">
G:\Info_Technik\IVS\Elektromobilitaet\Dokumentation, Gesetze, Rahmenpläne, Zielstellungen\ungelesen\2014-09-16 BMVI - Berechnung des Energieverbrauchs und der Treibhausgasemissionen des ÖPNV.pdf</t>
        </r>
      </text>
    </comment>
    <comment ref="I114" authorId="0" shapeId="0">
      <text>
        <r>
          <rPr>
            <b/>
            <sz val="9"/>
            <color indexed="81"/>
            <rFont val="Segoe UI"/>
            <family val="2"/>
          </rPr>
          <t>Ledoujet, Brieg:</t>
        </r>
        <r>
          <rPr>
            <sz val="9"/>
            <color indexed="81"/>
            <rFont val="Segoe UI"/>
            <family val="2"/>
          </rPr>
          <t xml:space="preserve">
https://www.prima-klima-weltweit.de/co2/kompens-berechnen.php</t>
        </r>
      </text>
    </comment>
    <comment ref="G119" authorId="0" shapeId="0">
      <text>
        <r>
          <rPr>
            <b/>
            <sz val="9"/>
            <color indexed="81"/>
            <rFont val="Segoe UI"/>
            <family val="2"/>
          </rPr>
          <t>Ledoujet, Brieg:</t>
        </r>
        <r>
          <rPr>
            <sz val="9"/>
            <color indexed="81"/>
            <rFont val="Segoe UI"/>
            <family val="2"/>
          </rPr>
          <t xml:space="preserve">
2016-09-00 Nahverkehrspraxis - Verbrauchswerte - Messwerte, S. 20</t>
        </r>
      </text>
    </comment>
    <comment ref="I119" authorId="0" shapeId="0">
      <text>
        <r>
          <rPr>
            <b/>
            <sz val="9"/>
            <color indexed="81"/>
            <rFont val="Segoe UI"/>
            <family val="2"/>
          </rPr>
          <t>Ledoujet, Brieg:</t>
        </r>
        <r>
          <rPr>
            <sz val="9"/>
            <color indexed="81"/>
            <rFont val="Segoe UI"/>
            <family val="2"/>
          </rPr>
          <t xml:space="preserve">
2016-09-00 Nahverkehrspraxis - Verbrauchswerte - Messwerte, S. 15ff</t>
        </r>
      </text>
    </comment>
    <comment ref="K119" authorId="0" shapeId="0">
      <text>
        <r>
          <rPr>
            <b/>
            <sz val="9"/>
            <color indexed="81"/>
            <rFont val="Segoe UI"/>
            <family val="2"/>
          </rPr>
          <t>Ledoujet, Brieg:</t>
        </r>
        <r>
          <rPr>
            <sz val="9"/>
            <color indexed="81"/>
            <rFont val="Segoe UI"/>
            <family val="2"/>
          </rPr>
          <t xml:space="preserve">
2016-09-00 Nahverkehrspraxis - Verbrauchswerte - Messwerte, S. 15ff</t>
        </r>
      </text>
    </comment>
    <comment ref="E127" authorId="0" shapeId="0">
      <text>
        <r>
          <rPr>
            <b/>
            <sz val="9"/>
            <color indexed="81"/>
            <rFont val="Segoe UI"/>
            <family val="2"/>
          </rPr>
          <t>Ledoujet, Brieg:</t>
        </r>
        <r>
          <rPr>
            <sz val="9"/>
            <color indexed="81"/>
            <rFont val="Segoe UI"/>
            <family val="2"/>
          </rPr>
          <t xml:space="preserve">
Eigene Rechnung nach EU RL 2009/30/EC "Spezifikationen von Kraftstoffen". Standard Emissionswerte für Biogas: 15-23 g CO2e/MJ. Heizwert von 50 MJ/kg. Ergibt Emissionsfaktor von 0,75 ; 0,80 ; 1,15 kgCO2/kg. Heizwert kommt aus BMVI (2013).</t>
        </r>
      </text>
    </comment>
    <comment ref="H128" authorId="0" shapeId="0">
      <text>
        <r>
          <rPr>
            <b/>
            <sz val="9"/>
            <color indexed="81"/>
            <rFont val="Segoe UI"/>
            <family val="2"/>
          </rPr>
          <t>Ledoujet, Brieg:</t>
        </r>
        <r>
          <rPr>
            <sz val="9"/>
            <color indexed="81"/>
            <rFont val="Segoe UI"/>
            <family val="2"/>
          </rPr>
          <t xml:space="preserve">
https://www.vdi.de/fileadmin/vdi_de/redakteur_dateien/geu_dateien/FB4-Internetseiten/CO2-Emissionen%20der%20Stromerzeugung_01.pdf
2007-00-00 VDI - CO2-Emissionen der Stromerzeugung - Studienvergleich</t>
        </r>
      </text>
    </comment>
    <comment ref="H129" authorId="0" shapeId="0">
      <text>
        <r>
          <rPr>
            <b/>
            <sz val="9"/>
            <color indexed="81"/>
            <rFont val="Segoe UI"/>
            <family val="2"/>
          </rPr>
          <t>Ledoujet, Brieg:</t>
        </r>
        <r>
          <rPr>
            <sz val="9"/>
            <color indexed="81"/>
            <rFont val="Segoe UI"/>
            <family val="2"/>
          </rPr>
          <t xml:space="preserve">
http://foederal-erneuerbar.de/uebersicht/bundeslaender/BW|BY|B|BB|HB|HH|HE|MV|NI|NRW|RLP|SL|SN|ST|SH|TH|D/kategorie/strom/auswahl/733-spezifische_co2-emis/#goto_733</t>
        </r>
      </text>
    </comment>
    <comment ref="I141" authorId="0" shapeId="0">
      <text>
        <r>
          <rPr>
            <b/>
            <sz val="9"/>
            <color indexed="81"/>
            <rFont val="Segoe UI"/>
            <family val="2"/>
          </rPr>
          <t>Ledoujet, Brieg:</t>
        </r>
        <r>
          <rPr>
            <sz val="9"/>
            <color indexed="81"/>
            <rFont val="Segoe UI"/>
            <family val="2"/>
          </rPr>
          <t xml:space="preserve">
https://cleanenergypartnership.de/faq/wasserstoffproduktion-und-speicherung/?scroll=true</t>
        </r>
      </text>
    </comment>
  </commentList>
</comments>
</file>

<file path=xl/sharedStrings.xml><?xml version="1.0" encoding="utf-8"?>
<sst xmlns="http://schemas.openxmlformats.org/spreadsheetml/2006/main" count="231" uniqueCount="141">
  <si>
    <t>Diesel</t>
  </si>
  <si>
    <t>Erdgas</t>
  </si>
  <si>
    <t>Einheit</t>
  </si>
  <si>
    <t>kWh/km</t>
  </si>
  <si>
    <t>Ökostrom</t>
  </si>
  <si>
    <t>Dropdown</t>
  </si>
  <si>
    <t>Bustyp</t>
  </si>
  <si>
    <t>k.A.</t>
  </si>
  <si>
    <t>Benzin</t>
  </si>
  <si>
    <t>Ethanol</t>
  </si>
  <si>
    <t>Benzin E5</t>
  </si>
  <si>
    <t>Benzin E10</t>
  </si>
  <si>
    <t>Biodiesel</t>
  </si>
  <si>
    <t>Diesel D7</t>
  </si>
  <si>
    <t>Erdgas (CNG)</t>
  </si>
  <si>
    <t>Autogas (LPG)</t>
  </si>
  <si>
    <t>MJ/kg</t>
  </si>
  <si>
    <t>MJ/l</t>
  </si>
  <si>
    <t>kgCO2e/kg</t>
  </si>
  <si>
    <t>kgCO2e/l</t>
  </si>
  <si>
    <t>Tank-to-Wheel</t>
  </si>
  <si>
    <t>Well-to-Wheel</t>
  </si>
  <si>
    <t>Normierter Energieverbrauch</t>
  </si>
  <si>
    <t>Treibhausgasemissionen (berechnet als CO2-Äquivalente)</t>
  </si>
  <si>
    <t>Quelle</t>
  </si>
  <si>
    <t>Heizöl</t>
  </si>
  <si>
    <t>kgCO2-e/kWh</t>
  </si>
  <si>
    <t>Strommix Sachsen-Anhalt</t>
  </si>
  <si>
    <t>%</t>
  </si>
  <si>
    <t>Minibus (6,0 - 8,0 m)</t>
  </si>
  <si>
    <t>Midibus (8,0 - 10,0 m)</t>
  </si>
  <si>
    <t>Standardbus (10,0 - 13,5 m)</t>
  </si>
  <si>
    <t>Gelenkbus (18,0 - 18,75 m)</t>
  </si>
  <si>
    <t>4-Achs-Gelenkbus (19,0 - 21,0 m)</t>
  </si>
  <si>
    <t>Doppelgelenkbus (21,0 - 24,8 m)</t>
  </si>
  <si>
    <t>Buszug (21,0 - 25,7 m)</t>
  </si>
  <si>
    <t>Verbrauch</t>
  </si>
  <si>
    <t>km</t>
  </si>
  <si>
    <t>Fahrzeugtyp</t>
  </si>
  <si>
    <t>Kraftstoffart</t>
  </si>
  <si>
    <t>Bitte wählen Sie…</t>
  </si>
  <si>
    <t>Standardwert</t>
  </si>
  <si>
    <t>Eigene Angabe</t>
  </si>
  <si>
    <t>Emissionen</t>
  </si>
  <si>
    <t>Antrieb</t>
  </si>
  <si>
    <t>Elektrisch</t>
  </si>
  <si>
    <t>Eingabefelder bitte ausfüllen</t>
  </si>
  <si>
    <t>Förderfähigkeit</t>
  </si>
  <si>
    <t>Biogas</t>
  </si>
  <si>
    <t>WtW</t>
  </si>
  <si>
    <t>Erstbeschaffung</t>
  </si>
  <si>
    <t>Ersatzbeschaffung</t>
  </si>
  <si>
    <t>Art der Beschaffung</t>
  </si>
  <si>
    <t>kg/100 km</t>
  </si>
  <si>
    <t>l/100 km</t>
  </si>
  <si>
    <t>3-Achs-Standardbus (13,5 - 15,0 m)</t>
  </si>
  <si>
    <t>Anzahl Fahrzeuge</t>
  </si>
  <si>
    <t>Gesamtkosten</t>
  </si>
  <si>
    <t>Gesamtkosten Fahrzeuge</t>
  </si>
  <si>
    <t>Förderquote</t>
  </si>
  <si>
    <t>Fördersumme</t>
  </si>
  <si>
    <t>Fördereffizienz</t>
  </si>
  <si>
    <t>förderfähige Kosten (Fz, LIS, sonstiges)</t>
  </si>
  <si>
    <t>förderfähige Fahrzeugkosten (=Mehrkosten)</t>
  </si>
  <si>
    <t>Gas</t>
  </si>
  <si>
    <t>Modell zur Berechnung der CO2-Minderungspotenziale von Fahrzeugen mit alternativen Antrieben und Kraftstoffen im Vergleich zu herkömmlichen Fahrzeugen für den Einsatz im ÖPNV</t>
  </si>
  <si>
    <t>Verbrauch Elektrisch</t>
  </si>
  <si>
    <t>Verbrauch Diesel</t>
  </si>
  <si>
    <t>Verbrauch Gas</t>
  </si>
  <si>
    <t>Entfällt</t>
  </si>
  <si>
    <t>Wasserstoff</t>
  </si>
  <si>
    <t>Gastyp</t>
  </si>
  <si>
    <t>Stromtyp</t>
  </si>
  <si>
    <t>Verbrauch Wasserstoff</t>
  </si>
  <si>
    <t>L/100 km</t>
  </si>
  <si>
    <t>L/km</t>
  </si>
  <si>
    <t>kg/km</t>
  </si>
  <si>
    <t>.</t>
  </si>
  <si>
    <t>QuelleWerte</t>
  </si>
  <si>
    <t>0=error</t>
  </si>
  <si>
    <t>1=gut</t>
  </si>
  <si>
    <t>Faktor</t>
  </si>
  <si>
    <t>kgCO2</t>
  </si>
  <si>
    <t>Summe</t>
  </si>
  <si>
    <t>Verbrauch Referenz</t>
  </si>
  <si>
    <t>Treibhausgasemissionen, Referenz</t>
  </si>
  <si>
    <t>Treibhausgasemissionen, Neu</t>
  </si>
  <si>
    <t>Referenz</t>
  </si>
  <si>
    <t>Neu</t>
  </si>
  <si>
    <t>Verbrauchswerte</t>
  </si>
  <si>
    <t>Strommenge</t>
  </si>
  <si>
    <t>Plug-In Hybrid</t>
  </si>
  <si>
    <t>Energiequellen</t>
  </si>
  <si>
    <t>Allgemeine Angaben</t>
  </si>
  <si>
    <t>berücksichtigen</t>
  </si>
  <si>
    <t>Brennstoffzelle</t>
  </si>
  <si>
    <t>kWh/kg H2</t>
  </si>
  <si>
    <t>gCO2/kWh Ökostrom</t>
  </si>
  <si>
    <t>gCO2/kWh Strommix</t>
  </si>
  <si>
    <t>kgCo2/kg H2 aus Elektrolyse Ökostrom</t>
  </si>
  <si>
    <t>kgCO2/kg H2 aus Elektrolyse Strommix</t>
  </si>
  <si>
    <t>H2 Bus</t>
  </si>
  <si>
    <t>Diesel Bus</t>
  </si>
  <si>
    <t>kgCo2/L</t>
  </si>
  <si>
    <t>kgCO2/km</t>
  </si>
  <si>
    <t>kgCO2/km Ökostrom</t>
  </si>
  <si>
    <t>kgCO2/km Strommix</t>
  </si>
  <si>
    <t>Biogas Bus</t>
  </si>
  <si>
    <t>kgCO2/kg</t>
  </si>
  <si>
    <r>
      <t>kg CO</t>
    </r>
    <r>
      <rPr>
        <vertAlign val="subscript"/>
        <sz val="8"/>
        <color theme="0"/>
        <rFont val="Arial"/>
        <family val="2"/>
      </rPr>
      <t>2</t>
    </r>
    <r>
      <rPr>
        <sz val="8"/>
        <color theme="0"/>
        <rFont val="Arial"/>
        <family val="2"/>
      </rPr>
      <t>e/Jahr</t>
    </r>
  </si>
  <si>
    <r>
      <t xml:space="preserve">Berechnungsergebnisse </t>
    </r>
    <r>
      <rPr>
        <sz val="10"/>
        <color theme="0"/>
        <rFont val="Arial"/>
        <family val="2"/>
      </rPr>
      <t>(Well-to-Wheel-Betrachtung)</t>
    </r>
  </si>
  <si>
    <t>Hinweis: Bitte hier die Daten von Neufahrzeugen und ggf. Infrastruktur eingeben</t>
  </si>
  <si>
    <t>Strom</t>
  </si>
  <si>
    <t>Ort, Datum</t>
  </si>
  <si>
    <t>Unterschrift/-en</t>
  </si>
  <si>
    <t>Ich versichere die Richtigkeit meiner Angaben.</t>
  </si>
  <si>
    <t>Vorsteuerabzugsberechtigung</t>
  </si>
  <si>
    <t>ja</t>
  </si>
  <si>
    <t>nein</t>
  </si>
  <si>
    <t>gCO₂/EUR Förderung</t>
  </si>
  <si>
    <t>EUR Förderung</t>
  </si>
  <si>
    <t>Ist der Projektumsetzende
(Letzempfänger) vorsteuerabzugsberechtigt?</t>
  </si>
  <si>
    <t>kgCO2/km 50 % Ökostrom und 50 % Strommix</t>
  </si>
  <si>
    <t>kgCO2/kg H2 aus Elektrolyse 50 % Ökostrom, 50 % Strommix</t>
  </si>
  <si>
    <t>Elektrolyse mit Strommix</t>
  </si>
  <si>
    <t>Abfallprodukt / Elektrolyse mit Ökostrom</t>
  </si>
  <si>
    <t>kgCO2/kg H2</t>
  </si>
  <si>
    <t>Kauf</t>
  </si>
  <si>
    <t>Flottenbezug</t>
  </si>
  <si>
    <t>Leasing/Miete</t>
  </si>
  <si>
    <t>Kosten</t>
  </si>
  <si>
    <t>Art der Beschaffung der Fahrzeuge</t>
  </si>
  <si>
    <t>NASA GmbH, 2017</t>
  </si>
  <si>
    <t>nur Kauf</t>
  </si>
  <si>
    <t>nur Leasing/Miete</t>
  </si>
  <si>
    <t>Art der Beschaffung der Infrastruktur</t>
  </si>
  <si>
    <t>Art der Beschaffung Infrastruktur</t>
  </si>
  <si>
    <t>Kauf und Leasing/Miete (gemischt)</t>
  </si>
  <si>
    <t>Kleinfahrzeug (bis 6,0 m)</t>
  </si>
  <si>
    <t>V 07.00</t>
  </si>
  <si>
    <t>Stand 20.06.2017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</si>
</sst>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7" formatCode="_-* #,##0.000\ _€_-;\-* #,##0.000\ _€_-;_-* &quot;-&quot;??\ _€_-;_-@_-"/>
    <numFmt numFmtId="168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 tint="-0.499984740745262"/>
      <name val="Arial"/>
      <family val="2"/>
    </font>
    <font>
      <sz val="8"/>
      <name val="Arial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8"/>
      <color theme="7"/>
      <name val="Arial"/>
      <family val="2"/>
    </font>
    <font>
      <sz val="8"/>
      <color theme="0"/>
      <name val="Calibri"/>
      <family val="2"/>
      <scheme val="minor"/>
    </font>
    <font>
      <sz val="8"/>
      <color rgb="FFFFFF00"/>
      <name val="Arial"/>
      <family val="2"/>
    </font>
    <font>
      <vertAlign val="subscript"/>
      <sz val="8"/>
      <color theme="0"/>
      <name val="Arial"/>
      <family val="2"/>
    </font>
    <font>
      <i/>
      <sz val="8"/>
      <color rgb="FFFFFF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 tint="0.499984740745262"/>
      <name val="Arial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3"/>
      <name val="Arial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 tint="-0.499984740745262"/>
      <name val="Calibri"/>
      <family val="2"/>
      <scheme val="minor"/>
    </font>
    <font>
      <sz val="12"/>
      <color rgb="FF9C6500"/>
      <name val="Calibri"/>
      <family val="2"/>
      <scheme val="minor"/>
    </font>
    <font>
      <sz val="8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</patternFill>
    </fill>
    <fill>
      <patternFill patternType="solid">
        <fgColor theme="7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1" applyNumberFormat="0" applyFill="0" applyAlignment="0" applyProtection="0"/>
    <xf numFmtId="0" fontId="6" fillId="12" borderId="0" applyNumberFormat="0" applyBorder="0" applyAlignment="0" applyProtection="0"/>
    <xf numFmtId="0" fontId="2" fillId="13" borderId="0" applyNumberFormat="0" applyBorder="0" applyAlignment="0" applyProtection="0"/>
  </cellStyleXfs>
  <cellXfs count="90">
    <xf numFmtId="0" fontId="0" fillId="0" borderId="0" xfId="0"/>
    <xf numFmtId="0" fontId="7" fillId="9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1" fillId="10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left" vertical="center"/>
    </xf>
    <xf numFmtId="0" fontId="8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9" fillId="11" borderId="0" xfId="0" applyFont="1" applyFill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8" fillId="11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164" fontId="11" fillId="10" borderId="0" xfId="1" applyNumberFormat="1" applyFont="1" applyFill="1" applyAlignment="1" applyProtection="1">
      <alignment vertical="center"/>
      <protection locked="0"/>
    </xf>
    <xf numFmtId="164" fontId="7" fillId="9" borderId="0" xfId="0" applyNumberFormat="1" applyFont="1" applyFill="1" applyAlignment="1" applyProtection="1">
      <alignment vertical="center"/>
    </xf>
    <xf numFmtId="43" fontId="11" fillId="10" borderId="0" xfId="1" applyFont="1" applyFill="1" applyAlignment="1" applyProtection="1">
      <alignment vertical="center"/>
      <protection locked="0"/>
    </xf>
    <xf numFmtId="0" fontId="9" fillId="11" borderId="0" xfId="0" applyFont="1" applyFill="1" applyAlignment="1" applyProtection="1">
      <alignment horizontal="left" vertical="center" indent="1"/>
    </xf>
    <xf numFmtId="168" fontId="7" fillId="9" borderId="3" xfId="0" applyNumberFormat="1" applyFont="1" applyFill="1" applyBorder="1" applyAlignment="1" applyProtection="1">
      <alignment vertical="center"/>
    </xf>
    <xf numFmtId="0" fontId="9" fillId="11" borderId="0" xfId="0" applyFont="1" applyFill="1" applyAlignment="1" applyProtection="1">
      <alignment horizontal="left" vertical="center"/>
    </xf>
    <xf numFmtId="0" fontId="9" fillId="4" borderId="0" xfId="0" applyFont="1" applyFill="1" applyAlignment="1" applyProtection="1">
      <alignment horizontal="left" vertical="center" wrapText="1"/>
    </xf>
    <xf numFmtId="0" fontId="15" fillId="13" borderId="0" xfId="6" applyFont="1" applyAlignment="1" applyProtection="1">
      <alignment vertical="center"/>
    </xf>
    <xf numFmtId="0" fontId="16" fillId="4" borderId="0" xfId="0" applyFont="1" applyFill="1" applyAlignment="1" applyProtection="1">
      <alignment vertical="center"/>
    </xf>
    <xf numFmtId="164" fontId="11" fillId="9" borderId="0" xfId="1" applyNumberFormat="1" applyFont="1" applyFill="1" applyAlignment="1" applyProtection="1">
      <alignment horizontal="center" vertical="center"/>
    </xf>
    <xf numFmtId="9" fontId="11" fillId="9" borderId="0" xfId="2" applyFont="1" applyFill="1" applyAlignment="1" applyProtection="1">
      <alignment horizontal="center" vertical="center"/>
    </xf>
    <xf numFmtId="9" fontId="9" fillId="4" borderId="0" xfId="2" applyFont="1" applyFill="1" applyAlignment="1" applyProtection="1">
      <alignment horizontal="left" vertical="center"/>
    </xf>
    <xf numFmtId="0" fontId="11" fillId="9" borderId="0" xfId="0" applyFont="1" applyFill="1" applyAlignment="1" applyProtection="1">
      <alignment horizontal="center" vertical="center"/>
    </xf>
    <xf numFmtId="0" fontId="18" fillId="4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9" fillId="6" borderId="0" xfId="0" applyFont="1" applyFill="1" applyAlignment="1" applyProtection="1">
      <alignment vertical="center"/>
    </xf>
    <xf numFmtId="0" fontId="19" fillId="7" borderId="0" xfId="0" applyFont="1" applyFill="1" applyAlignment="1" applyProtection="1">
      <alignment vertical="center"/>
    </xf>
    <xf numFmtId="0" fontId="19" fillId="8" borderId="0" xfId="0" applyFont="1" applyFill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5" fillId="2" borderId="0" xfId="3" applyFont="1" applyAlignment="1" applyProtection="1">
      <alignment vertical="center"/>
    </xf>
    <xf numFmtId="43" fontId="19" fillId="3" borderId="0" xfId="1" applyFont="1" applyFill="1" applyAlignment="1" applyProtection="1">
      <alignment vertical="center"/>
    </xf>
    <xf numFmtId="43" fontId="20" fillId="3" borderId="0" xfId="1" applyFont="1" applyFill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43" fontId="23" fillId="3" borderId="0" xfId="1" applyFont="1" applyFill="1" applyAlignment="1" applyProtection="1">
      <alignment vertical="center"/>
    </xf>
    <xf numFmtId="43" fontId="24" fillId="3" borderId="0" xfId="1" applyFont="1" applyFill="1" applyAlignment="1" applyProtection="1">
      <alignment vertical="center"/>
    </xf>
    <xf numFmtId="0" fontId="15" fillId="5" borderId="0" xfId="3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43" fontId="11" fillId="0" borderId="0" xfId="0" applyNumberFormat="1" applyFont="1" applyFill="1" applyAlignment="1" applyProtection="1">
      <alignment vertical="center"/>
    </xf>
    <xf numFmtId="43" fontId="23" fillId="3" borderId="0" xfId="1" applyNumberFormat="1" applyFont="1" applyFill="1" applyAlignment="1" applyProtection="1">
      <alignment vertical="center"/>
    </xf>
    <xf numFmtId="165" fontId="23" fillId="3" borderId="0" xfId="1" applyNumberFormat="1" applyFont="1" applyFill="1" applyAlignment="1" applyProtection="1">
      <alignment vertical="center"/>
    </xf>
    <xf numFmtId="165" fontId="19" fillId="3" borderId="0" xfId="1" applyNumberFormat="1" applyFont="1" applyFill="1" applyAlignment="1" applyProtection="1">
      <alignment vertical="center"/>
    </xf>
    <xf numFmtId="165" fontId="25" fillId="3" borderId="0" xfId="1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left" vertical="center" indent="1"/>
    </xf>
    <xf numFmtId="0" fontId="26" fillId="0" borderId="1" xfId="4" applyFont="1" applyAlignment="1" applyProtection="1">
      <alignment vertical="center"/>
    </xf>
    <xf numFmtId="167" fontId="11" fillId="0" borderId="0" xfId="1" applyNumberFormat="1" applyFont="1" applyFill="1" applyAlignment="1" applyProtection="1">
      <alignment vertical="center"/>
    </xf>
    <xf numFmtId="43" fontId="11" fillId="0" borderId="0" xfId="1" applyNumberFormat="1" applyFont="1" applyFill="1" applyAlignment="1" applyProtection="1">
      <alignment vertical="center"/>
    </xf>
    <xf numFmtId="164" fontId="11" fillId="0" borderId="0" xfId="1" applyNumberFormat="1" applyFont="1" applyFill="1" applyAlignment="1" applyProtection="1">
      <alignment vertical="center"/>
    </xf>
    <xf numFmtId="0" fontId="9" fillId="2" borderId="0" xfId="3" applyFont="1" applyAlignment="1" applyProtection="1">
      <alignment vertical="center"/>
    </xf>
    <xf numFmtId="43" fontId="11" fillId="6" borderId="0" xfId="1" applyNumberFormat="1" applyFont="1" applyFill="1" applyAlignment="1" applyProtection="1">
      <alignment vertical="center"/>
    </xf>
    <xf numFmtId="43" fontId="7" fillId="0" borderId="0" xfId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43" fontId="11" fillId="0" borderId="0" xfId="1" applyFont="1" applyFill="1" applyAlignment="1" applyProtection="1">
      <alignment vertical="center"/>
    </xf>
    <xf numFmtId="165" fontId="7" fillId="0" borderId="0" xfId="1" applyNumberFormat="1" applyFont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8" fontId="7" fillId="0" borderId="0" xfId="0" applyNumberFormat="1" applyFont="1" applyAlignment="1" applyProtection="1">
      <alignment vertical="center"/>
    </xf>
    <xf numFmtId="0" fontId="28" fillId="4" borderId="0" xfId="0" applyFont="1" applyFill="1" applyAlignment="1" applyProtection="1">
      <alignment vertical="center"/>
    </xf>
    <xf numFmtId="0" fontId="30" fillId="11" borderId="0" xfId="6" applyFont="1" applyFill="1" applyAlignment="1" applyProtection="1">
      <alignment vertical="center"/>
    </xf>
    <xf numFmtId="0" fontId="18" fillId="11" borderId="0" xfId="0" applyFont="1" applyFill="1" applyAlignment="1" applyProtection="1">
      <alignment vertical="center"/>
    </xf>
    <xf numFmtId="0" fontId="16" fillId="11" borderId="0" xfId="0" applyFont="1" applyFill="1" applyAlignment="1" applyProtection="1">
      <alignment vertical="center"/>
    </xf>
    <xf numFmtId="0" fontId="11" fillId="10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right" vertical="center"/>
    </xf>
    <xf numFmtId="0" fontId="7" fillId="9" borderId="0" xfId="0" applyFont="1" applyFill="1" applyBorder="1" applyAlignment="1" applyProtection="1">
      <alignment vertical="center"/>
    </xf>
    <xf numFmtId="0" fontId="9" fillId="9" borderId="0" xfId="0" applyFont="1" applyFill="1" applyBorder="1" applyAlignment="1" applyProtection="1">
      <alignment vertical="center"/>
    </xf>
    <xf numFmtId="0" fontId="8" fillId="9" borderId="0" xfId="0" applyFont="1" applyFill="1" applyBorder="1" applyAlignment="1" applyProtection="1">
      <alignment vertical="center"/>
    </xf>
    <xf numFmtId="0" fontId="13" fillId="9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10" borderId="0" xfId="0" applyFont="1" applyFill="1" applyBorder="1" applyAlignment="1" applyProtection="1">
      <alignment vertical="center"/>
    </xf>
    <xf numFmtId="0" fontId="31" fillId="12" borderId="0" xfId="5" applyFont="1" applyBorder="1" applyAlignment="1" applyProtection="1">
      <alignment vertical="center"/>
    </xf>
    <xf numFmtId="0" fontId="16" fillId="4" borderId="0" xfId="0" applyFont="1" applyFill="1" applyAlignment="1" applyProtection="1">
      <alignment vertical="top" wrapText="1"/>
    </xf>
    <xf numFmtId="0" fontId="32" fillId="0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 wrapText="1"/>
    </xf>
    <xf numFmtId="165" fontId="7" fillId="0" borderId="0" xfId="0" applyNumberFormat="1" applyFont="1" applyAlignment="1" applyProtection="1">
      <alignment vertical="center"/>
    </xf>
    <xf numFmtId="0" fontId="7" fillId="10" borderId="2" xfId="0" applyFont="1" applyFill="1" applyBorder="1" applyAlignment="1" applyProtection="1">
      <alignment vertical="center"/>
      <protection locked="0"/>
    </xf>
    <xf numFmtId="168" fontId="7" fillId="10" borderId="4" xfId="0" applyNumberFormat="1" applyFont="1" applyFill="1" applyBorder="1" applyAlignment="1" applyProtection="1">
      <alignment vertical="center"/>
      <protection locked="0"/>
    </xf>
    <xf numFmtId="168" fontId="7" fillId="10" borderId="2" xfId="0" applyNumberFormat="1" applyFont="1" applyFill="1" applyBorder="1" applyAlignment="1" applyProtection="1">
      <alignment vertical="center"/>
      <protection locked="0"/>
    </xf>
    <xf numFmtId="0" fontId="7" fillId="10" borderId="0" xfId="0" applyFont="1" applyFill="1" applyAlignment="1" applyProtection="1">
      <alignment vertical="center"/>
      <protection locked="0"/>
    </xf>
    <xf numFmtId="43" fontId="11" fillId="9" borderId="0" xfId="1" applyFont="1" applyFill="1" applyAlignment="1" applyProtection="1">
      <alignment vertical="center"/>
    </xf>
    <xf numFmtId="9" fontId="11" fillId="0" borderId="0" xfId="2" applyFont="1" applyFill="1" applyAlignment="1" applyProtection="1">
      <alignment vertical="center"/>
    </xf>
    <xf numFmtId="0" fontId="11" fillId="9" borderId="0" xfId="0" applyFont="1" applyFill="1" applyAlignment="1" applyProtection="1">
      <alignment horizontal="left" vertical="center"/>
    </xf>
    <xf numFmtId="0" fontId="18" fillId="11" borderId="0" xfId="0" applyFont="1" applyFill="1" applyAlignment="1" applyProtection="1">
      <alignment horizontal="left" vertical="center" wrapText="1"/>
    </xf>
    <xf numFmtId="0" fontId="18" fillId="11" borderId="0" xfId="0" applyFont="1" applyFill="1" applyAlignment="1" applyProtection="1">
      <alignment horizontal="left" vertical="center"/>
    </xf>
    <xf numFmtId="0" fontId="28" fillId="11" borderId="0" xfId="0" applyFont="1" applyFill="1" applyAlignment="1" applyProtection="1">
      <alignment horizontal="center" vertical="center" wrapText="1"/>
    </xf>
  </cellXfs>
  <cellStyles count="7">
    <cellStyle name="Akzent3" xfId="3" builtinId="37"/>
    <cellStyle name="Akzent4" xfId="6" builtinId="41"/>
    <cellStyle name="Komma" xfId="1" builtinId="3"/>
    <cellStyle name="Neutral" xfId="5" builtinId="28"/>
    <cellStyle name="Prozent" xfId="2" builtinId="5"/>
    <cellStyle name="Standard" xfId="0" builtinId="0"/>
    <cellStyle name="Überschrift 1" xfId="4" builtinId="16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80</xdr:row>
          <xdr:rowOff>95250</xdr:rowOff>
        </xdr:from>
        <xdr:to>
          <xdr:col>4</xdr:col>
          <xdr:colOff>1847850</xdr:colOff>
          <xdr:row>82</xdr:row>
          <xdr:rowOff>57150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Felder zurücksetzen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Z166"/>
  <sheetViews>
    <sheetView showGridLines="0" tabSelected="1" topLeftCell="C1" zoomScaleNormal="100" workbookViewId="0">
      <selection activeCell="E22" sqref="E22"/>
    </sheetView>
  </sheetViews>
  <sheetFormatPr baseColWidth="10" defaultColWidth="3.7109375" defaultRowHeight="12" customHeight="1" outlineLevelRow="1" x14ac:dyDescent="0.25"/>
  <cols>
    <col min="1" max="1" width="2.7109375" style="72" customWidth="1"/>
    <col min="2" max="2" width="2" style="3" customWidth="1"/>
    <col min="3" max="3" width="32.28515625" style="3" customWidth="1"/>
    <col min="4" max="4" width="2.140625" style="3" customWidth="1"/>
    <col min="5" max="5" width="28.7109375" style="3" customWidth="1"/>
    <col min="6" max="6" width="30.28515625" style="3" customWidth="1"/>
    <col min="7" max="7" width="3.28515625" style="3" customWidth="1"/>
    <col min="8" max="8" width="2.7109375" style="3" customWidth="1"/>
    <col min="9" max="9" width="19.85546875" style="3" customWidth="1"/>
    <col min="10" max="10" width="20.140625" style="3" customWidth="1"/>
    <col min="11" max="11" width="9.140625" style="3" customWidth="1"/>
    <col min="12" max="12" width="11.140625" style="3" customWidth="1"/>
    <col min="13" max="13" width="11.28515625" style="3" customWidth="1"/>
    <col min="14" max="14" width="6.42578125" style="3" customWidth="1"/>
    <col min="15" max="15" width="9.140625" style="3" customWidth="1"/>
    <col min="16" max="16" width="12.5703125" style="3" customWidth="1"/>
    <col min="17" max="18" width="2.7109375" style="3" customWidth="1"/>
    <col min="19" max="19" width="13.7109375" style="2" customWidth="1"/>
    <col min="20" max="21" width="10.7109375" style="2" customWidth="1"/>
    <col min="22" max="22" width="12.5703125" style="2" customWidth="1"/>
    <col min="23" max="25" width="10.7109375" style="2" customWidth="1"/>
    <col min="26" max="29" width="10.7109375" style="3" customWidth="1"/>
    <col min="30" max="16384" width="3.7109375" style="3"/>
  </cols>
  <sheetData>
    <row r="1" spans="1:25" ht="12" customHeight="1" x14ac:dyDescent="0.25">
      <c r="A1" s="68"/>
      <c r="B1" s="1"/>
      <c r="C1" s="1"/>
      <c r="D1" s="1"/>
      <c r="E1" s="1"/>
      <c r="F1" s="1"/>
      <c r="G1" s="1"/>
      <c r="H1" s="68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12" customHeight="1" x14ac:dyDescent="0.25">
      <c r="A2" s="68"/>
      <c r="B2" s="89" t="s">
        <v>65</v>
      </c>
      <c r="C2" s="89"/>
      <c r="D2" s="89"/>
      <c r="E2" s="89"/>
      <c r="F2" s="89"/>
      <c r="G2" s="89"/>
      <c r="H2" s="68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5" ht="36.6" customHeight="1" x14ac:dyDescent="0.25">
      <c r="A3" s="68"/>
      <c r="B3" s="89"/>
      <c r="C3" s="89"/>
      <c r="D3" s="89"/>
      <c r="E3" s="89"/>
      <c r="F3" s="89"/>
      <c r="G3" s="89"/>
      <c r="H3" s="68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5" s="72" customFormat="1" ht="12" customHeight="1" x14ac:dyDescent="0.25">
      <c r="A4" s="68"/>
      <c r="B4" s="74"/>
      <c r="C4" s="74"/>
      <c r="D4" s="74"/>
      <c r="E4" s="74"/>
      <c r="F4" s="74"/>
      <c r="G4" s="74"/>
      <c r="H4" s="68"/>
      <c r="I4" s="73"/>
      <c r="J4" s="75" t="s">
        <v>140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s="72" customFormat="1" ht="12" customHeight="1" x14ac:dyDescent="0.25">
      <c r="A5" s="68"/>
      <c r="B5" s="4"/>
      <c r="C5" s="4"/>
      <c r="D5" s="4"/>
      <c r="E5" s="4"/>
      <c r="F5" s="4"/>
      <c r="G5" s="4"/>
      <c r="H5" s="68"/>
      <c r="I5" s="73"/>
      <c r="J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s="72" customFormat="1" ht="36" customHeight="1" x14ac:dyDescent="0.25">
      <c r="A6" s="68"/>
      <c r="B6" s="4"/>
      <c r="C6" s="78" t="s">
        <v>121</v>
      </c>
      <c r="D6" s="63">
        <f>IF(E6&lt;&gt;N126,1,0)</f>
        <v>0</v>
      </c>
      <c r="E6" s="6" t="s">
        <v>40</v>
      </c>
      <c r="F6" s="7" t="s">
        <v>5</v>
      </c>
      <c r="G6" s="4"/>
      <c r="H6" s="68"/>
      <c r="I6" s="73"/>
      <c r="J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s="72" customFormat="1" ht="12" customHeight="1" x14ac:dyDescent="0.25">
      <c r="A7" s="68"/>
      <c r="B7" s="4"/>
      <c r="C7" s="4"/>
      <c r="D7" s="63"/>
      <c r="E7" s="4"/>
      <c r="F7" s="4"/>
      <c r="G7" s="4"/>
      <c r="H7" s="68"/>
      <c r="I7" s="73"/>
      <c r="J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s="72" customFormat="1" ht="12" customHeight="1" x14ac:dyDescent="0.25">
      <c r="A8" s="68"/>
      <c r="B8" s="74"/>
      <c r="C8" s="74"/>
      <c r="D8" s="74"/>
      <c r="E8" s="74"/>
      <c r="F8" s="74"/>
      <c r="G8" s="74"/>
      <c r="H8" s="68"/>
      <c r="I8" s="73"/>
      <c r="J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5" ht="12" customHeight="1" x14ac:dyDescent="0.25">
      <c r="A9" s="68"/>
      <c r="B9" s="4"/>
      <c r="C9" s="4"/>
      <c r="D9" s="4"/>
      <c r="E9" s="4"/>
      <c r="F9" s="4"/>
      <c r="G9" s="4"/>
      <c r="H9" s="68"/>
      <c r="I9" s="2"/>
      <c r="M9" s="2"/>
      <c r="N9" s="2"/>
      <c r="O9" s="2"/>
      <c r="P9" s="2"/>
      <c r="Q9" s="2"/>
      <c r="R9" s="2"/>
    </row>
    <row r="10" spans="1:25" ht="12" customHeight="1" x14ac:dyDescent="0.25">
      <c r="A10" s="68"/>
      <c r="B10" s="4"/>
      <c r="C10" s="4" t="s">
        <v>131</v>
      </c>
      <c r="D10" s="63">
        <f>IF(E10&lt;&gt;Q126,1,0)</f>
        <v>0</v>
      </c>
      <c r="E10" s="6" t="s">
        <v>40</v>
      </c>
      <c r="F10" s="7" t="s">
        <v>5</v>
      </c>
      <c r="G10" s="4"/>
      <c r="H10" s="68"/>
      <c r="I10" s="2"/>
      <c r="J10" s="73"/>
      <c r="M10" s="2"/>
      <c r="N10" s="2"/>
      <c r="O10" s="2"/>
      <c r="P10" s="2"/>
      <c r="Q10" s="2"/>
      <c r="R10" s="2"/>
    </row>
    <row r="11" spans="1:25" ht="12" customHeight="1" x14ac:dyDescent="0.25">
      <c r="A11" s="68"/>
      <c r="B11" s="4"/>
      <c r="C11" s="4" t="str">
        <f>IF(E10=Q128,"Leasing- bzw. Mietdauer","")</f>
        <v/>
      </c>
      <c r="D11" s="63">
        <f>IF(F11="bitte löschen Sie die eigene Angabe",0,IF(F11="Bitte geben Sie eine Dauer ein",0,1))</f>
        <v>1</v>
      </c>
      <c r="E11" s="15"/>
      <c r="F11" s="7" t="str">
        <f>IF(AND(E10=Q128,COUNT(E11)=0),"Bitte geben Sie eine Dauer in Monaten ein",IF(E10=Q128,"Monate",IF(AND(E10=Q127,E11&gt;0),"bitte löschen Sie die eigene Angabe","")))</f>
        <v/>
      </c>
      <c r="G11" s="4"/>
      <c r="H11" s="68"/>
      <c r="I11" s="2"/>
      <c r="J11" s="73"/>
      <c r="M11" s="2"/>
      <c r="N11" s="2"/>
      <c r="O11" s="2"/>
      <c r="P11" s="2"/>
      <c r="Q11" s="2"/>
      <c r="R11" s="2"/>
    </row>
    <row r="12" spans="1:25" ht="12" customHeight="1" x14ac:dyDescent="0.25">
      <c r="A12" s="68"/>
      <c r="B12" s="4"/>
      <c r="C12" s="4" t="s">
        <v>128</v>
      </c>
      <c r="D12" s="63">
        <f>IF(E12&lt;&gt;J126,1,0)</f>
        <v>0</v>
      </c>
      <c r="E12" s="6" t="s">
        <v>40</v>
      </c>
      <c r="F12" s="7" t="s">
        <v>5</v>
      </c>
      <c r="G12" s="4"/>
      <c r="H12" s="68"/>
      <c r="I12" s="2"/>
      <c r="J12" s="2"/>
      <c r="M12" s="2"/>
      <c r="N12" s="2"/>
      <c r="O12" s="2"/>
      <c r="P12" s="2"/>
      <c r="Q12" s="2"/>
      <c r="R12" s="2"/>
    </row>
    <row r="13" spans="1:25" ht="12" customHeight="1" x14ac:dyDescent="0.25">
      <c r="A13" s="68"/>
      <c r="B13" s="4"/>
      <c r="C13" s="4" t="s">
        <v>135</v>
      </c>
      <c r="D13" s="63">
        <f>IF(E13&lt;&gt;Q126,1,0)</f>
        <v>0</v>
      </c>
      <c r="E13" s="6" t="s">
        <v>40</v>
      </c>
      <c r="F13" s="7" t="s">
        <v>5</v>
      </c>
      <c r="G13" s="4"/>
      <c r="H13" s="68"/>
      <c r="I13" s="2"/>
      <c r="J13" s="2"/>
      <c r="M13" s="2"/>
      <c r="N13" s="2"/>
      <c r="O13" s="2"/>
      <c r="P13" s="2"/>
      <c r="Q13" s="2"/>
      <c r="R13" s="2"/>
    </row>
    <row r="14" spans="1:25" ht="12" customHeight="1" x14ac:dyDescent="0.25">
      <c r="A14" s="68"/>
      <c r="B14" s="4"/>
      <c r="C14" s="4" t="str">
        <f>IF(OR(E13=R128,E13=R129),"Leasing- bzw. Mietdauer","")</f>
        <v/>
      </c>
      <c r="D14" s="63">
        <f>IF(F14="bitte löschen Sie die eigene Angabe",0,IF(F14="Bitte geben Sie eine Dauer ein",0,1))</f>
        <v>1</v>
      </c>
      <c r="E14" s="15"/>
      <c r="F14" s="7" t="str">
        <f>IF(OR(AND(E13=R129,COUNT(E14)=0),AND(E13=R128,COUNT(E14)=0)),"Bitte geben Sie eine Dauer in Monaten ein",IF(OR(E13=R128,E13=R129),"Monate",IF(AND(OR(E13=R130,E13=R128),E14&gt;0),"bitte löschen Sie die eigene Angabe","")))</f>
        <v/>
      </c>
      <c r="G14" s="4"/>
      <c r="H14" s="68"/>
      <c r="I14" s="2"/>
      <c r="J14" s="2"/>
      <c r="M14" s="2"/>
      <c r="N14" s="2"/>
      <c r="O14" s="2"/>
      <c r="P14" s="2"/>
      <c r="Q14" s="2"/>
      <c r="R14" s="2"/>
    </row>
    <row r="15" spans="1:25" ht="12" customHeight="1" x14ac:dyDescent="0.25">
      <c r="A15" s="68"/>
      <c r="B15" s="4"/>
      <c r="C15" s="4"/>
      <c r="D15" s="63"/>
      <c r="E15" s="4"/>
      <c r="F15" s="4"/>
      <c r="G15" s="4"/>
      <c r="H15" s="68"/>
      <c r="I15" s="2"/>
      <c r="J15" s="2"/>
      <c r="M15" s="2"/>
      <c r="N15" s="2"/>
      <c r="O15" s="2"/>
      <c r="P15" s="2"/>
      <c r="Q15" s="2"/>
      <c r="R15" s="2"/>
    </row>
    <row r="16" spans="1:25" s="72" customFormat="1" ht="12" customHeight="1" x14ac:dyDescent="0.25">
      <c r="A16" s="68"/>
      <c r="B16" s="74"/>
      <c r="C16" s="74"/>
      <c r="D16" s="74"/>
      <c r="E16" s="74"/>
      <c r="F16" s="74"/>
      <c r="G16" s="74"/>
      <c r="H16" s="68"/>
      <c r="I16" s="73"/>
      <c r="J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4" ht="12" customHeight="1" x14ac:dyDescent="0.25">
      <c r="A17" s="68"/>
      <c r="B17" s="4"/>
      <c r="C17" s="4"/>
      <c r="D17" s="63"/>
      <c r="E17" s="4"/>
      <c r="F17" s="4"/>
      <c r="G17" s="4"/>
      <c r="H17" s="69"/>
      <c r="I17" s="2"/>
      <c r="J17" s="2"/>
      <c r="M17" s="2"/>
      <c r="N17" s="2"/>
      <c r="O17" s="2"/>
      <c r="P17" s="2"/>
      <c r="Q17" s="2"/>
      <c r="R17" s="2"/>
    </row>
    <row r="18" spans="1:24" ht="15" customHeight="1" x14ac:dyDescent="0.25">
      <c r="A18" s="68"/>
      <c r="B18" s="4"/>
      <c r="C18" s="62" t="s">
        <v>87</v>
      </c>
      <c r="D18" s="63"/>
      <c r="E18" s="4"/>
      <c r="F18" s="8"/>
      <c r="G18" s="8"/>
      <c r="H18" s="70"/>
      <c r="I18" s="2"/>
      <c r="J18" s="2"/>
      <c r="M18" s="2"/>
      <c r="N18" s="2"/>
      <c r="O18" s="2"/>
      <c r="P18" s="2"/>
      <c r="Q18" s="2"/>
      <c r="R18" s="2"/>
    </row>
    <row r="19" spans="1:24" ht="12" customHeight="1" x14ac:dyDescent="0.25">
      <c r="A19" s="68"/>
      <c r="B19" s="4"/>
      <c r="C19" s="64" t="str">
        <f>IF(E12="Erstbeschaffung","Hinweis: Bitte die Daten eines repräsentativen Fahrzeuges der Bestandsflotte eingeben",IF(E12="Ersatzbeschaffung","Hinweis: Bitte die Daten des zu ersetzenden Fahrzeuges eingeben",""))</f>
        <v/>
      </c>
      <c r="D19" s="63"/>
      <c r="E19" s="9"/>
      <c r="F19" s="10"/>
      <c r="G19" s="10"/>
      <c r="H19" s="71"/>
      <c r="I19" s="2"/>
      <c r="J19" s="2"/>
      <c r="M19" s="2"/>
      <c r="N19" s="2"/>
      <c r="O19" s="2"/>
      <c r="P19" s="2"/>
      <c r="Q19" s="2"/>
      <c r="R19" s="2"/>
    </row>
    <row r="20" spans="1:24" ht="12" customHeight="1" x14ac:dyDescent="0.25">
      <c r="A20" s="68"/>
      <c r="B20" s="4"/>
      <c r="C20" s="11"/>
      <c r="D20" s="63"/>
      <c r="E20" s="4"/>
      <c r="F20" s="8"/>
      <c r="G20" s="8"/>
      <c r="H20" s="70"/>
      <c r="I20" s="2"/>
      <c r="J20" s="2"/>
      <c r="M20" s="2"/>
      <c r="N20" s="2"/>
      <c r="O20" s="2"/>
      <c r="P20" s="2"/>
      <c r="Q20" s="2"/>
      <c r="R20" s="2"/>
    </row>
    <row r="21" spans="1:24" ht="12" customHeight="1" x14ac:dyDescent="0.25">
      <c r="A21" s="68"/>
      <c r="B21" s="4"/>
      <c r="C21" s="13" t="s">
        <v>93</v>
      </c>
      <c r="D21" s="63"/>
      <c r="E21" s="4"/>
      <c r="F21" s="8"/>
      <c r="G21" s="8"/>
      <c r="H21" s="70"/>
      <c r="I21" s="2"/>
      <c r="J21" s="2"/>
      <c r="M21" s="2"/>
      <c r="N21" s="2"/>
      <c r="O21" s="2"/>
      <c r="P21" s="2"/>
      <c r="Q21" s="2"/>
      <c r="R21" s="2"/>
    </row>
    <row r="22" spans="1:24" ht="12" customHeight="1" x14ac:dyDescent="0.25">
      <c r="A22" s="68"/>
      <c r="B22" s="4"/>
      <c r="C22" s="7" t="s">
        <v>6</v>
      </c>
      <c r="D22" s="63">
        <f>IF(E22&lt;&gt;C126,1,0)</f>
        <v>0</v>
      </c>
      <c r="E22" s="6" t="s">
        <v>40</v>
      </c>
      <c r="F22" s="7" t="s">
        <v>5</v>
      </c>
      <c r="G22" s="8"/>
      <c r="H22" s="69"/>
      <c r="I22" s="2"/>
      <c r="J22" s="2"/>
      <c r="M22" s="2"/>
      <c r="N22" s="2"/>
      <c r="O22" s="2"/>
      <c r="P22" s="2"/>
      <c r="Q22" s="2"/>
      <c r="R22" s="2"/>
      <c r="W22" s="14"/>
      <c r="X22" s="14"/>
    </row>
    <row r="23" spans="1:24" ht="12" customHeight="1" x14ac:dyDescent="0.25">
      <c r="A23" s="68"/>
      <c r="B23" s="4"/>
      <c r="C23" s="7" t="s">
        <v>44</v>
      </c>
      <c r="D23" s="63">
        <f>IF(E23&lt;&gt;D126,1,0)</f>
        <v>0</v>
      </c>
      <c r="E23" s="6" t="s">
        <v>40</v>
      </c>
      <c r="F23" s="7" t="s">
        <v>5</v>
      </c>
      <c r="G23" s="8"/>
      <c r="H23" s="69"/>
      <c r="I23" s="2"/>
      <c r="J23" s="2"/>
      <c r="M23" s="2"/>
      <c r="N23" s="2"/>
      <c r="O23" s="2"/>
      <c r="P23" s="2"/>
      <c r="Q23" s="2"/>
      <c r="R23" s="2"/>
      <c r="W23" s="14"/>
      <c r="X23" s="14"/>
    </row>
    <row r="24" spans="1:24" ht="12" customHeight="1" x14ac:dyDescent="0.25">
      <c r="A24" s="68"/>
      <c r="B24" s="4"/>
      <c r="C24" s="7" t="s">
        <v>36</v>
      </c>
      <c r="D24" s="63">
        <f>IF(E24&gt;0,1,0)</f>
        <v>0</v>
      </c>
      <c r="E24" s="17"/>
      <c r="F24" s="7" t="str">
        <f>IF($E$23='CO2-Rechner'!$D$126,"",IF($E$23='CO2-Rechner'!$D$128,"l/100 km",IF($E$23='CO2-Rechner'!$D$129,"kg/100 km",IF($E$23='CO2-Rechner'!$D$127,"kg/100 km","Eingabefelder bitte ausfüllen"))))</f>
        <v/>
      </c>
      <c r="G24" s="8"/>
      <c r="H24" s="69"/>
      <c r="I24" s="2"/>
      <c r="J24" s="2"/>
      <c r="M24" s="2"/>
      <c r="N24" s="2"/>
      <c r="O24" s="2"/>
      <c r="P24" s="2"/>
      <c r="Q24" s="2"/>
      <c r="R24" s="2"/>
      <c r="W24" s="14"/>
      <c r="X24" s="14"/>
    </row>
    <row r="25" spans="1:24" ht="12" customHeight="1" x14ac:dyDescent="0.25">
      <c r="A25" s="68"/>
      <c r="B25" s="4"/>
      <c r="C25" s="7" t="str">
        <f>IF(AND(E11&lt;12,E10=Q128),"monatliche Fahrleistung je Fahrzeug","Jahresfahrleistung je Fahrzeug")</f>
        <v>Jahresfahrleistung je Fahrzeug</v>
      </c>
      <c r="D25" s="63">
        <f>IF(E25&gt;0,1,0)</f>
        <v>0</v>
      </c>
      <c r="E25" s="15"/>
      <c r="F25" s="7" t="s">
        <v>37</v>
      </c>
      <c r="G25" s="8"/>
      <c r="H25" s="69"/>
      <c r="I25" s="2"/>
      <c r="J25" s="2"/>
      <c r="M25" s="2"/>
      <c r="N25" s="2"/>
      <c r="O25" s="2"/>
      <c r="P25" s="2"/>
      <c r="Q25" s="2"/>
      <c r="R25" s="2"/>
      <c r="W25" s="14"/>
      <c r="X25" s="14"/>
    </row>
    <row r="26" spans="1:24" ht="12" customHeight="1" x14ac:dyDescent="0.25">
      <c r="A26" s="68"/>
      <c r="B26" s="4"/>
      <c r="C26" s="64" t="str">
        <f>IF(E20="Erstbeschaffung","Hinweis: Bitte die Daten eines repräsentativen Fahrzeuges der Bestandsflotte eingeben",IF(E20="Ersatzbeschaffung","Hinweis: Bitte die Daten des zu ersetzenden Fahrzeuges eingeben",""))</f>
        <v/>
      </c>
      <c r="D26" s="5"/>
      <c r="E26" s="4"/>
      <c r="F26" s="4"/>
      <c r="G26" s="8"/>
      <c r="H26" s="69"/>
      <c r="I26" s="2"/>
      <c r="J26" s="2"/>
      <c r="M26" s="2"/>
      <c r="N26" s="2"/>
      <c r="O26" s="2"/>
      <c r="P26" s="2"/>
      <c r="Q26" s="2"/>
      <c r="R26" s="2"/>
      <c r="W26" s="14"/>
      <c r="X26" s="14"/>
    </row>
    <row r="27" spans="1:24" ht="12" customHeight="1" x14ac:dyDescent="0.25">
      <c r="A27" s="68"/>
      <c r="B27" s="4"/>
      <c r="C27" s="4"/>
      <c r="D27" s="5"/>
      <c r="E27" s="4"/>
      <c r="F27" s="4"/>
      <c r="G27" s="8"/>
      <c r="H27" s="69"/>
      <c r="I27" s="2"/>
      <c r="J27" s="2"/>
      <c r="M27" s="2"/>
      <c r="N27" s="2"/>
      <c r="O27" s="2"/>
      <c r="P27" s="2"/>
      <c r="Q27" s="2"/>
      <c r="R27" s="2"/>
      <c r="W27" s="14"/>
      <c r="X27" s="14"/>
    </row>
    <row r="28" spans="1:24" ht="12" customHeight="1" x14ac:dyDescent="0.25">
      <c r="A28" s="68"/>
      <c r="B28" s="4"/>
      <c r="C28" s="13" t="str">
        <f>IF(E10=Q126,"",IF(E10=Q127,"Investitionskosten",IF(E10=Q128,"Leasing- bzw. Mietkosten","error")))</f>
        <v/>
      </c>
      <c r="D28" s="5"/>
      <c r="E28" s="4"/>
      <c r="F28" s="4"/>
      <c r="G28" s="8"/>
      <c r="H28" s="69"/>
      <c r="I28" s="2"/>
      <c r="J28" s="2"/>
      <c r="M28" s="2"/>
      <c r="N28" s="2"/>
      <c r="O28" s="2"/>
      <c r="P28" s="2"/>
      <c r="Q28" s="2"/>
      <c r="R28" s="2"/>
      <c r="W28" s="14"/>
      <c r="X28" s="14"/>
    </row>
    <row r="29" spans="1:24" ht="12" customHeight="1" x14ac:dyDescent="0.25">
      <c r="A29" s="68"/>
      <c r="B29" s="4"/>
      <c r="C29" s="87" t="str">
        <f>IF(E10=Q126,"",IF(E10=Q127,"Hinweis: Bitte geben Sie den Einzelpreis eines DIESEL-fahrzeuges der aktuell gültigen EU-Abgasnormen ein.",IF(E10=Q128,"Hinweis: Bitte geben Sie die monatlichen Leasing- bzw. Mietkosten eines DIESEL-fahrzeuges der aktuell gültigen EU-Abgasnormen ein.","error")))</f>
        <v/>
      </c>
      <c r="D29" s="88"/>
      <c r="E29" s="88"/>
      <c r="F29" s="88"/>
      <c r="G29" s="88"/>
      <c r="H29" s="69"/>
      <c r="I29" s="2"/>
      <c r="J29" s="2"/>
      <c r="M29" s="2"/>
      <c r="N29" s="2"/>
      <c r="O29" s="2"/>
      <c r="P29" s="2"/>
      <c r="Q29" s="2"/>
      <c r="R29" s="2"/>
      <c r="W29" s="14"/>
      <c r="X29" s="14"/>
    </row>
    <row r="30" spans="1:24" ht="12" customHeight="1" x14ac:dyDescent="0.25">
      <c r="A30" s="68"/>
      <c r="B30" s="4"/>
      <c r="C30" s="88"/>
      <c r="D30" s="88"/>
      <c r="E30" s="88"/>
      <c r="F30" s="88"/>
      <c r="G30" s="88"/>
      <c r="H30" s="69"/>
      <c r="I30" s="2"/>
      <c r="J30" s="2"/>
      <c r="M30" s="2"/>
      <c r="N30" s="2"/>
      <c r="O30" s="2"/>
      <c r="P30" s="2"/>
      <c r="Q30" s="2"/>
      <c r="R30" s="2"/>
      <c r="W30" s="14"/>
      <c r="X30" s="14"/>
    </row>
    <row r="31" spans="1:24" ht="12" customHeight="1" x14ac:dyDescent="0.25">
      <c r="A31" s="68"/>
      <c r="B31" s="4"/>
      <c r="C31" s="4" t="str">
        <f>E22</f>
        <v>Bitte wählen Sie…</v>
      </c>
      <c r="D31" s="5">
        <f>IF(E31&gt;0,1,0)</f>
        <v>0</v>
      </c>
      <c r="E31" s="17"/>
      <c r="F31" s="4" t="str">
        <f>IF(E6=N127,"EUR netto",IF(E6=N128,"EUR brutto",""))</f>
        <v/>
      </c>
      <c r="G31" s="8"/>
      <c r="H31" s="69"/>
      <c r="I31" s="2"/>
      <c r="J31" s="2"/>
      <c r="M31" s="2"/>
      <c r="N31" s="2"/>
      <c r="O31" s="2"/>
      <c r="P31" s="2"/>
      <c r="Q31" s="2"/>
      <c r="R31" s="2"/>
      <c r="W31" s="14"/>
      <c r="X31" s="14"/>
    </row>
    <row r="32" spans="1:24" ht="12" customHeight="1" x14ac:dyDescent="0.25">
      <c r="A32" s="68"/>
      <c r="B32" s="4"/>
      <c r="C32" s="4"/>
      <c r="D32" s="5"/>
      <c r="E32" s="4"/>
      <c r="F32" s="4"/>
      <c r="G32" s="8"/>
      <c r="H32" s="69"/>
      <c r="I32" s="2"/>
      <c r="J32" s="2"/>
      <c r="M32" s="2"/>
      <c r="N32" s="2"/>
      <c r="O32" s="2"/>
      <c r="P32" s="2"/>
      <c r="Q32" s="2"/>
      <c r="R32" s="2"/>
      <c r="W32" s="14"/>
      <c r="X32" s="14"/>
    </row>
    <row r="33" spans="1:25" ht="12" customHeight="1" x14ac:dyDescent="0.25">
      <c r="A33" s="68"/>
      <c r="B33" s="4"/>
      <c r="C33" s="4"/>
      <c r="D33" s="5"/>
      <c r="E33" s="4"/>
      <c r="F33" s="4"/>
      <c r="G33" s="8"/>
      <c r="H33" s="69"/>
      <c r="I33" s="2"/>
      <c r="J33" s="2"/>
      <c r="M33" s="2"/>
      <c r="N33" s="2"/>
      <c r="O33" s="2"/>
      <c r="P33" s="2"/>
      <c r="Q33" s="2"/>
      <c r="R33" s="2"/>
      <c r="W33" s="14"/>
      <c r="X33" s="14"/>
    </row>
    <row r="34" spans="1:25" s="72" customFormat="1" ht="12" customHeight="1" x14ac:dyDescent="0.25">
      <c r="A34" s="68"/>
      <c r="B34" s="74"/>
      <c r="C34" s="74"/>
      <c r="D34" s="74"/>
      <c r="E34" s="74"/>
      <c r="F34" s="74"/>
      <c r="G34" s="74"/>
      <c r="H34" s="69"/>
      <c r="I34" s="73"/>
      <c r="J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</row>
    <row r="35" spans="1:25" ht="12" customHeight="1" x14ac:dyDescent="0.25">
      <c r="A35" s="68"/>
      <c r="B35" s="4"/>
      <c r="C35" s="4"/>
      <c r="D35" s="5"/>
      <c r="E35" s="4"/>
      <c r="F35" s="4"/>
      <c r="G35" s="4"/>
      <c r="H35" s="69"/>
      <c r="I35" s="2"/>
      <c r="J35" s="2"/>
      <c r="M35" s="2"/>
      <c r="N35" s="2"/>
      <c r="O35" s="2"/>
      <c r="P35" s="2"/>
      <c r="Q35" s="2"/>
      <c r="R35" s="2"/>
      <c r="W35" s="14"/>
      <c r="X35" s="14"/>
    </row>
    <row r="36" spans="1:25" ht="12" customHeight="1" collapsed="1" x14ac:dyDescent="0.25">
      <c r="A36" s="68"/>
      <c r="B36" s="4"/>
      <c r="C36" s="62" t="s">
        <v>88</v>
      </c>
      <c r="D36" s="8"/>
      <c r="E36" s="8"/>
      <c r="F36" s="8"/>
      <c r="G36" s="4"/>
      <c r="H36" s="69"/>
      <c r="I36" s="2"/>
      <c r="J36" s="2"/>
      <c r="M36" s="2"/>
      <c r="N36" s="2"/>
      <c r="O36" s="2"/>
      <c r="P36" s="2"/>
      <c r="Q36" s="2"/>
      <c r="R36" s="2"/>
      <c r="W36" s="14"/>
      <c r="X36" s="14"/>
    </row>
    <row r="37" spans="1:25" ht="12" customHeight="1" x14ac:dyDescent="0.25">
      <c r="A37" s="68"/>
      <c r="B37" s="4"/>
      <c r="C37" s="28" t="s">
        <v>111</v>
      </c>
      <c r="D37" s="8"/>
      <c r="E37" s="8"/>
      <c r="F37" s="8"/>
      <c r="G37" s="4"/>
      <c r="H37" s="69"/>
      <c r="I37" s="2"/>
      <c r="J37" s="2"/>
      <c r="M37" s="2"/>
      <c r="N37" s="2"/>
      <c r="O37" s="2"/>
      <c r="P37" s="2"/>
      <c r="Q37" s="2"/>
      <c r="R37" s="2"/>
      <c r="W37" s="14"/>
      <c r="X37" s="14"/>
    </row>
    <row r="38" spans="1:25" ht="12" customHeight="1" x14ac:dyDescent="0.25">
      <c r="A38" s="68"/>
      <c r="B38" s="4"/>
      <c r="C38" s="8"/>
      <c r="D38" s="12"/>
      <c r="E38" s="8"/>
      <c r="F38" s="8"/>
      <c r="G38" s="4"/>
      <c r="H38" s="69"/>
      <c r="I38" s="2"/>
      <c r="J38" s="2"/>
      <c r="M38" s="2"/>
      <c r="N38" s="2"/>
      <c r="O38" s="2"/>
      <c r="P38" s="2"/>
      <c r="Q38" s="2"/>
      <c r="R38" s="2"/>
    </row>
    <row r="39" spans="1:25" ht="12" customHeight="1" x14ac:dyDescent="0.25">
      <c r="A39" s="68"/>
      <c r="B39" s="4"/>
      <c r="C39" s="13" t="str">
        <f>$C$21</f>
        <v>Allgemeine Angaben</v>
      </c>
      <c r="D39" s="12"/>
      <c r="E39" s="8"/>
      <c r="F39" s="8"/>
      <c r="G39" s="4"/>
      <c r="H39" s="69"/>
      <c r="I39" s="2"/>
      <c r="J39" s="2"/>
      <c r="M39" s="2"/>
      <c r="N39" s="2"/>
      <c r="O39" s="2"/>
      <c r="P39" s="2"/>
      <c r="Q39" s="2"/>
      <c r="R39" s="2"/>
    </row>
    <row r="40" spans="1:25" ht="12" customHeight="1" x14ac:dyDescent="0.25">
      <c r="A40" s="68"/>
      <c r="B40" s="4"/>
      <c r="C40" s="4" t="s">
        <v>56</v>
      </c>
      <c r="D40" s="63">
        <f>IF(E40&lt;&gt;L126,1,0)</f>
        <v>0</v>
      </c>
      <c r="E40" s="6" t="s">
        <v>40</v>
      </c>
      <c r="F40" s="7" t="s">
        <v>5</v>
      </c>
      <c r="G40" s="4"/>
      <c r="H40" s="69"/>
      <c r="I40" s="2"/>
      <c r="J40" s="2"/>
      <c r="M40" s="2"/>
      <c r="N40" s="2"/>
      <c r="O40" s="2"/>
      <c r="P40" s="2"/>
      <c r="Q40" s="2"/>
      <c r="R40" s="2"/>
    </row>
    <row r="41" spans="1:25" ht="12" customHeight="1" x14ac:dyDescent="0.25">
      <c r="A41" s="68"/>
      <c r="B41" s="4"/>
      <c r="C41" s="4" t="str">
        <f>$C$22</f>
        <v>Bustyp</v>
      </c>
      <c r="D41" s="5">
        <f>IF(E41=C126,0,1)</f>
        <v>0</v>
      </c>
      <c r="E41" s="6" t="s">
        <v>40</v>
      </c>
      <c r="F41" s="7" t="s">
        <v>5</v>
      </c>
      <c r="G41" s="4"/>
      <c r="H41" s="69"/>
      <c r="I41" s="2"/>
      <c r="J41" s="2"/>
      <c r="M41" s="2"/>
      <c r="N41" s="2"/>
      <c r="O41" s="2"/>
      <c r="P41" s="2"/>
      <c r="Q41" s="2"/>
      <c r="R41" s="2"/>
    </row>
    <row r="42" spans="1:25" ht="12" customHeight="1" x14ac:dyDescent="0.25">
      <c r="A42" s="68"/>
      <c r="B42" s="4"/>
      <c r="C42" s="4" t="str">
        <f>$C$23</f>
        <v>Antrieb</v>
      </c>
      <c r="D42" s="5">
        <f>IF(E42=K126,0,1)</f>
        <v>0</v>
      </c>
      <c r="E42" s="6" t="s">
        <v>40</v>
      </c>
      <c r="F42" s="7" t="s">
        <v>5</v>
      </c>
      <c r="G42" s="4"/>
      <c r="H42" s="69"/>
      <c r="I42" s="2"/>
      <c r="J42" s="2"/>
      <c r="M42" s="2"/>
      <c r="N42" s="2"/>
      <c r="O42" s="2"/>
      <c r="P42" s="2"/>
      <c r="Q42" s="2"/>
      <c r="R42" s="2"/>
    </row>
    <row r="43" spans="1:25" ht="12" customHeight="1" x14ac:dyDescent="0.25">
      <c r="A43" s="68"/>
      <c r="B43" s="4"/>
      <c r="C43" s="4" t="str">
        <f>$C$25</f>
        <v>Jahresfahrleistung je Fahrzeug</v>
      </c>
      <c r="D43" s="5" t="s">
        <v>77</v>
      </c>
      <c r="E43" s="16">
        <f>$E$25</f>
        <v>0</v>
      </c>
      <c r="F43" s="11" t="str">
        <f>F25</f>
        <v>km</v>
      </c>
      <c r="G43" s="4"/>
      <c r="H43" s="69"/>
      <c r="I43" s="2"/>
      <c r="J43" s="2"/>
      <c r="M43" s="2"/>
      <c r="N43" s="2"/>
      <c r="O43" s="2"/>
      <c r="P43" s="2"/>
      <c r="Q43" s="2"/>
      <c r="R43" s="2"/>
    </row>
    <row r="44" spans="1:25" ht="12" customHeight="1" x14ac:dyDescent="0.25">
      <c r="A44" s="68"/>
      <c r="B44" s="4"/>
      <c r="C44" s="11"/>
      <c r="D44" s="5"/>
      <c r="E44" s="11"/>
      <c r="F44" s="11"/>
      <c r="G44" s="4"/>
      <c r="H44" s="69"/>
      <c r="I44" s="2"/>
      <c r="J44" s="2"/>
      <c r="M44" s="2"/>
      <c r="N44" s="2"/>
      <c r="O44" s="2"/>
      <c r="P44" s="2"/>
      <c r="Q44" s="2"/>
      <c r="R44" s="2"/>
    </row>
    <row r="45" spans="1:25" ht="12" customHeight="1" thickBot="1" x14ac:dyDescent="0.3">
      <c r="A45" s="68"/>
      <c r="B45" s="4"/>
      <c r="C45" s="13" t="s">
        <v>89</v>
      </c>
      <c r="D45" s="5">
        <f>IF(E45="",1,0)</f>
        <v>1</v>
      </c>
      <c r="E45" s="65" t="str">
        <f>IF(OR(E46=I126,E49=I126,E52=I126,E55=I126),"",IF(AND(E46=I127,E49=I127,E52=I127,E55=I127),"Bitte mindestens ein Verbrauchswert angeben",IF(SUM(V139:V142)=0,"Geben Sie höhere Verbrauchswerte an","")))</f>
        <v/>
      </c>
      <c r="F45" s="11"/>
      <c r="G45" s="4"/>
      <c r="H45" s="69"/>
      <c r="I45" s="2"/>
      <c r="J45" s="2"/>
      <c r="M45" s="2"/>
      <c r="N45" s="2"/>
      <c r="O45" s="2"/>
      <c r="P45" s="2"/>
      <c r="Q45" s="2"/>
      <c r="R45" s="2"/>
    </row>
    <row r="46" spans="1:25" ht="12" customHeight="1" x14ac:dyDescent="0.25">
      <c r="A46" s="68"/>
      <c r="B46" s="4"/>
      <c r="C46" s="11" t="s">
        <v>90</v>
      </c>
      <c r="D46" s="5">
        <f>IF(RIGHT(F46,2)="an",0,IF(E46=G126,0,1))</f>
        <v>0</v>
      </c>
      <c r="E46" s="80" t="s">
        <v>40</v>
      </c>
      <c r="F46" s="65" t="str">
        <f>IF(AND(E42=K128,E46=I127),"Bitte geben Sie einen Verbrauchswert für Strom an","")</f>
        <v/>
      </c>
      <c r="G46" s="4"/>
      <c r="H46" s="69"/>
      <c r="I46" s="2"/>
      <c r="J46" s="2"/>
      <c r="M46" s="2"/>
      <c r="N46" s="2"/>
      <c r="O46" s="2"/>
      <c r="P46" s="2"/>
      <c r="Q46" s="2"/>
      <c r="R46" s="2"/>
    </row>
    <row r="47" spans="1:25" ht="12" customHeight="1" x14ac:dyDescent="0.25">
      <c r="A47" s="68"/>
      <c r="B47" s="4"/>
      <c r="C47" s="18" t="str">
        <f>IF(E46=I128,I128,"")</f>
        <v/>
      </c>
      <c r="D47" s="5" t="s">
        <v>77</v>
      </c>
      <c r="E47" s="19" t="str">
        <f>IF(E46=I128,IF(E42&lt;&gt;K128,0,INDEX(E117:N121,MATCH(E42,D117:D121,0),MATCH(E41,E116:N116,0))),"")</f>
        <v/>
      </c>
      <c r="F47" s="11" t="str">
        <f>IF(C47&lt;&gt;"","kWh/km","")</f>
        <v/>
      </c>
      <c r="G47" s="4"/>
      <c r="H47" s="69"/>
      <c r="I47" s="2"/>
      <c r="J47" s="2"/>
      <c r="M47" s="2"/>
      <c r="N47" s="2"/>
      <c r="O47" s="2"/>
      <c r="P47" s="2"/>
      <c r="Q47" s="2"/>
      <c r="R47" s="2"/>
    </row>
    <row r="48" spans="1:25" ht="12" customHeight="1" thickBot="1" x14ac:dyDescent="0.3">
      <c r="A48" s="68"/>
      <c r="B48" s="4"/>
      <c r="C48" s="18" t="str">
        <f>IF(E46=I129,I129,"")</f>
        <v/>
      </c>
      <c r="D48" s="5" t="str">
        <f>IF(OR(AND(E46=I127,E48&gt;0),AND(C48=I129,OR(E48="",E48=0))),0,IF(AND(E48&gt;0,E46=I128),0,IF(E46=I128,"",IF(E46=I126,"",1))))</f>
        <v/>
      </c>
      <c r="E48" s="81"/>
      <c r="F48" s="11" t="str">
        <f>IF(OR(AND(E46=I127,E48&gt;0),AND(E47&lt;&gt;"",E48&gt;0)),"Bitte löschen Sie die eigene Angabe",IF(C48&lt;&gt;"","kWh/km",""))</f>
        <v/>
      </c>
      <c r="G48" s="4"/>
      <c r="H48" s="69"/>
      <c r="I48" s="2"/>
      <c r="J48" s="2"/>
      <c r="M48" s="2"/>
      <c r="N48" s="2"/>
      <c r="O48" s="2"/>
      <c r="P48" s="2"/>
      <c r="Q48" s="2"/>
      <c r="R48" s="2"/>
    </row>
    <row r="49" spans="1:18" ht="12" customHeight="1" x14ac:dyDescent="0.25">
      <c r="A49" s="68"/>
      <c r="B49" s="4"/>
      <c r="C49" s="11" t="s">
        <v>0</v>
      </c>
      <c r="D49" s="5">
        <f>IF(RIGHT(F49,2)="an",0,IF(E49=G126,0,1))</f>
        <v>0</v>
      </c>
      <c r="E49" s="82" t="s">
        <v>40</v>
      </c>
      <c r="F49" s="65" t="str">
        <f>IF(E42=K128,"Hinweis: ggf. Zusatzheizung beachten",IF(AND(E42=K129,E49=I127),"Bitte geben Sie einen Verbrauchswert für Diesel an",""))</f>
        <v/>
      </c>
      <c r="G49" s="4"/>
      <c r="H49" s="69"/>
      <c r="I49" s="2"/>
      <c r="J49" s="2"/>
      <c r="M49" s="2"/>
      <c r="N49" s="2"/>
      <c r="O49" s="2"/>
      <c r="P49" s="2"/>
      <c r="Q49" s="2"/>
      <c r="R49" s="2"/>
    </row>
    <row r="50" spans="1:18" ht="12" customHeight="1" x14ac:dyDescent="0.25">
      <c r="A50" s="68"/>
      <c r="B50" s="4"/>
      <c r="C50" s="18" t="str">
        <f>IF(E49=I128,I128,"")</f>
        <v/>
      </c>
      <c r="D50" s="5" t="s">
        <v>77</v>
      </c>
      <c r="E50" s="19" t="str">
        <f>IF(E49=I128,IF(E42&lt;&gt;K129,0,INDEX(E117:N121,MATCH(E42,D117:D121,0),MATCH(E41,E116:N116,0))),"")</f>
        <v/>
      </c>
      <c r="F50" s="11" t="str">
        <f>IF(C50&lt;&gt;"","l/100 km","")</f>
        <v/>
      </c>
      <c r="G50" s="4"/>
      <c r="H50" s="69"/>
      <c r="I50" s="2"/>
      <c r="J50" s="2"/>
      <c r="M50" s="2"/>
      <c r="N50" s="2"/>
      <c r="O50" s="2"/>
      <c r="P50" s="2"/>
      <c r="Q50" s="2"/>
      <c r="R50" s="2"/>
    </row>
    <row r="51" spans="1:18" ht="12" customHeight="1" thickBot="1" x14ac:dyDescent="0.3">
      <c r="A51" s="68"/>
      <c r="B51" s="4"/>
      <c r="C51" s="18" t="str">
        <f>IF(E49=I129,I129,"")</f>
        <v/>
      </c>
      <c r="D51" s="5" t="str">
        <f>IF(OR(AND(E49=I127,E51&gt;0),AND(C51=I129,OR(E51="",E51=0))),0,IF(AND(E51&gt;0,E49=I128),0,IF(E49=I128,"",IF(E49=I126,"",1))))</f>
        <v/>
      </c>
      <c r="E51" s="81"/>
      <c r="F51" s="11" t="str">
        <f>IF(OR(AND(E49=I127,E51&gt;0),AND(E50&lt;&gt;"",E51&gt;0)),"Bitte löschen Sie die eigene Angabe",IF(C51&lt;&gt;"","L/100 km",""))</f>
        <v/>
      </c>
      <c r="G51" s="4"/>
      <c r="H51" s="69"/>
      <c r="I51" s="2"/>
      <c r="J51" s="2"/>
      <c r="M51" s="2"/>
      <c r="N51" s="2"/>
      <c r="O51" s="2"/>
      <c r="P51" s="2"/>
      <c r="Q51" s="2"/>
      <c r="R51" s="2"/>
    </row>
    <row r="52" spans="1:18" ht="12" customHeight="1" x14ac:dyDescent="0.25">
      <c r="A52" s="68"/>
      <c r="B52" s="4"/>
      <c r="C52" s="11" t="s">
        <v>64</v>
      </c>
      <c r="D52" s="5">
        <f>IF(RIGHT(F52,2)="an",0,IF(E52=G126,0,1))</f>
        <v>0</v>
      </c>
      <c r="E52" s="82" t="s">
        <v>40</v>
      </c>
      <c r="F52" s="65" t="str">
        <f>IF(E42=K128,"Hinweis: ggf. Zusatzheizung beachten",IF(AND(E42=K127,E52=I127),"Bitte geben Sie einen Verbrauchswert für Gas an",""))</f>
        <v/>
      </c>
      <c r="G52" s="4"/>
      <c r="H52" s="69"/>
      <c r="I52" s="2"/>
      <c r="J52" s="2"/>
      <c r="M52" s="2"/>
      <c r="N52" s="2"/>
      <c r="O52" s="2"/>
      <c r="P52" s="2"/>
      <c r="Q52" s="2"/>
      <c r="R52" s="2"/>
    </row>
    <row r="53" spans="1:18" ht="12" customHeight="1" x14ac:dyDescent="0.25">
      <c r="A53" s="68"/>
      <c r="B53" s="4"/>
      <c r="C53" s="18" t="str">
        <f>IF(E52=I128,I128,"")</f>
        <v/>
      </c>
      <c r="D53" s="5" t="s">
        <v>77</v>
      </c>
      <c r="E53" s="19" t="str">
        <f>IF(E52=I128,IF(E42&lt;&gt;K127,0,INDEX(E117:N121,MATCH(E42,D117:D121,0),MATCH(E41,E116:N116,0))),"")</f>
        <v/>
      </c>
      <c r="F53" s="11" t="str">
        <f>IF(C53&lt;&gt;"","kg/100 km","")</f>
        <v/>
      </c>
      <c r="G53" s="4"/>
      <c r="H53" s="69"/>
      <c r="I53" s="2"/>
      <c r="J53" s="2"/>
      <c r="M53" s="2"/>
      <c r="N53" s="2"/>
      <c r="O53" s="2"/>
      <c r="P53" s="2"/>
      <c r="Q53" s="2"/>
      <c r="R53" s="2"/>
    </row>
    <row r="54" spans="1:18" ht="12" customHeight="1" thickBot="1" x14ac:dyDescent="0.3">
      <c r="A54" s="68"/>
      <c r="B54" s="4"/>
      <c r="C54" s="18" t="str">
        <f>IF(E52=I129,I129,"")</f>
        <v/>
      </c>
      <c r="D54" s="5" t="str">
        <f>IF(OR(AND(E52=I127,E54&gt;0),AND(C54=I129,OR(E54="",E54=0))),0,IF(AND(E54&gt;0,E52=I128),0,IF(E52=I128,"",IF(E52=I126,"",1))))</f>
        <v/>
      </c>
      <c r="E54" s="81"/>
      <c r="F54" s="11" t="str">
        <f>IF(OR(AND(E52=I127,E54&gt;0),AND(E53&lt;&gt;"",E54&gt;0)),"Bitte löschen Sie die eigene Angabe",IF(C54&lt;&gt;"","kg/100 km",""))</f>
        <v/>
      </c>
      <c r="G54" s="4"/>
      <c r="H54" s="69"/>
      <c r="I54" s="2"/>
      <c r="J54" s="2"/>
      <c r="M54" s="2"/>
      <c r="N54" s="2"/>
      <c r="O54" s="2"/>
      <c r="P54" s="2"/>
      <c r="Q54" s="2"/>
      <c r="R54" s="2"/>
    </row>
    <row r="55" spans="1:18" ht="12" customHeight="1" x14ac:dyDescent="0.25">
      <c r="A55" s="68"/>
      <c r="B55" s="4"/>
      <c r="C55" s="11" t="s">
        <v>70</v>
      </c>
      <c r="D55" s="5">
        <f>IF(RIGHT(F55,2)="an",0,IF(E55=G126,0,1))</f>
        <v>0</v>
      </c>
      <c r="E55" s="82" t="s">
        <v>40</v>
      </c>
      <c r="F55" s="65" t="str">
        <f>IF(AND(E42=K130,E55=I127),"Bitte geben Sie einen Verbrauchswert für Wasserstoff an","")</f>
        <v/>
      </c>
      <c r="G55" s="4"/>
      <c r="H55" s="69"/>
      <c r="I55" s="2"/>
      <c r="J55" s="2"/>
      <c r="M55" s="2"/>
      <c r="N55" s="2"/>
      <c r="O55" s="2"/>
      <c r="P55" s="2"/>
      <c r="Q55" s="2"/>
      <c r="R55" s="2"/>
    </row>
    <row r="56" spans="1:18" ht="12" customHeight="1" x14ac:dyDescent="0.25">
      <c r="A56" s="68"/>
      <c r="B56" s="4"/>
      <c r="C56" s="18" t="str">
        <f>IF(E55=I128,I128,"")</f>
        <v/>
      </c>
      <c r="D56" s="5" t="s">
        <v>77</v>
      </c>
      <c r="E56" s="19" t="str">
        <f>IF(E55=I128,IF(E42&lt;&gt;K130,0,INDEX(E117:N121,MATCH(E42,D117:D121,0),MATCH(E41,E116:N116,0))),"")</f>
        <v/>
      </c>
      <c r="F56" s="11" t="str">
        <f>IF(C56&lt;&gt;"","kg/100 km","")</f>
        <v/>
      </c>
      <c r="G56" s="4"/>
      <c r="H56" s="69"/>
      <c r="I56" s="2"/>
      <c r="J56" s="2"/>
      <c r="M56" s="2"/>
      <c r="N56" s="2"/>
      <c r="O56" s="2"/>
      <c r="P56" s="2"/>
      <c r="Q56" s="2"/>
      <c r="R56" s="2"/>
    </row>
    <row r="57" spans="1:18" ht="12" customHeight="1" thickBot="1" x14ac:dyDescent="0.3">
      <c r="A57" s="68"/>
      <c r="B57" s="4"/>
      <c r="C57" s="18" t="str">
        <f>IF(E55=I129,I129,"")</f>
        <v/>
      </c>
      <c r="D57" s="5" t="str">
        <f>IF(OR(AND(E55=I127,E57&gt;0),AND(C57=I129,OR(E57="",E57=0))),0,IF(AND(E57&gt;0,E55=I128),0,IF(E55=I128,"",IF(E55=I126,"",1))))</f>
        <v/>
      </c>
      <c r="E57" s="81"/>
      <c r="F57" s="11" t="str">
        <f>IF(OR(AND(E55=I127,E57&gt;0),AND(E56&lt;&gt;"",E57&gt;0)),"Bitte löschen Sie die eigene Angabe",IF(C57&lt;&gt;"","kg/100 km",""))</f>
        <v/>
      </c>
      <c r="G57" s="4"/>
      <c r="H57" s="69"/>
      <c r="I57" s="2"/>
      <c r="Q57" s="2"/>
      <c r="R57" s="2"/>
    </row>
    <row r="58" spans="1:18" ht="12" customHeight="1" x14ac:dyDescent="0.25">
      <c r="A58" s="68"/>
      <c r="B58" s="4"/>
      <c r="C58" s="4"/>
      <c r="D58" s="5"/>
      <c r="E58" s="4"/>
      <c r="F58" s="4"/>
      <c r="G58" s="4"/>
      <c r="H58" s="69"/>
      <c r="I58" s="2"/>
      <c r="Q58" s="2"/>
      <c r="R58" s="2"/>
    </row>
    <row r="59" spans="1:18" ht="12" customHeight="1" x14ac:dyDescent="0.25">
      <c r="A59" s="68"/>
      <c r="B59" s="4"/>
      <c r="C59" s="13" t="s">
        <v>92</v>
      </c>
      <c r="D59" s="5"/>
      <c r="E59" s="4"/>
      <c r="F59" s="4"/>
      <c r="G59" s="4"/>
      <c r="H59" s="69"/>
      <c r="I59" s="2"/>
      <c r="Q59" s="2"/>
      <c r="R59" s="2"/>
    </row>
    <row r="60" spans="1:18" ht="12" customHeight="1" x14ac:dyDescent="0.25">
      <c r="A60" s="68"/>
      <c r="B60" s="4"/>
      <c r="C60" s="20" t="s">
        <v>112</v>
      </c>
      <c r="D60" s="5">
        <f>IF(AND(E42=K128,E60=G127),0,IF(E60=G126,0,1))</f>
        <v>0</v>
      </c>
      <c r="E60" s="83" t="s">
        <v>40</v>
      </c>
      <c r="F60" s="23" t="str">
        <f>IF(AND(E42=K128,E60=G127),"Bitte Stromtyp wählen","")</f>
        <v/>
      </c>
      <c r="G60" s="4"/>
      <c r="H60" s="69"/>
      <c r="I60" s="2"/>
      <c r="Q60" s="2"/>
      <c r="R60" s="2"/>
    </row>
    <row r="61" spans="1:18" ht="12" customHeight="1" x14ac:dyDescent="0.25">
      <c r="A61" s="68"/>
      <c r="B61" s="4"/>
      <c r="C61" s="20" t="s">
        <v>64</v>
      </c>
      <c r="D61" s="5">
        <f>IF(AND(E42=K127,E61=M127),0,IF(E61=G126,0,1))</f>
        <v>0</v>
      </c>
      <c r="E61" s="83" t="s">
        <v>40</v>
      </c>
      <c r="F61" s="23" t="str">
        <f>IF(AND(E42=K127,E61=M127),"Bitte Gastyp wählen","")</f>
        <v/>
      </c>
      <c r="G61" s="4"/>
      <c r="H61" s="69"/>
      <c r="I61" s="2"/>
      <c r="Q61" s="2"/>
      <c r="R61" s="2"/>
    </row>
    <row r="62" spans="1:18" ht="12" customHeight="1" x14ac:dyDescent="0.25">
      <c r="A62" s="68"/>
      <c r="B62" s="4"/>
      <c r="C62" s="20" t="s">
        <v>70</v>
      </c>
      <c r="D62" s="5">
        <f>IF(AND(E42=K130,E62=O127),0,IF(E62=O126,0,1))</f>
        <v>0</v>
      </c>
      <c r="E62" s="83" t="s">
        <v>40</v>
      </c>
      <c r="F62" s="23" t="str">
        <f>IF(AND(E42=K130,E62=G127),"Bitte Wasserstofftyp wählen","")</f>
        <v/>
      </c>
      <c r="G62" s="4"/>
      <c r="H62" s="69"/>
      <c r="I62" s="2"/>
      <c r="Q62" s="2"/>
      <c r="R62" s="2"/>
    </row>
    <row r="63" spans="1:18" ht="12" customHeight="1" x14ac:dyDescent="0.25">
      <c r="A63" s="68"/>
      <c r="B63" s="4"/>
      <c r="C63" s="8"/>
      <c r="D63" s="5"/>
      <c r="E63" s="8"/>
      <c r="F63" s="8"/>
      <c r="G63" s="4"/>
      <c r="H63" s="69"/>
      <c r="I63" s="2"/>
      <c r="Q63" s="2"/>
      <c r="R63" s="2"/>
    </row>
    <row r="64" spans="1:18" ht="12" customHeight="1" x14ac:dyDescent="0.25">
      <c r="A64" s="68"/>
      <c r="B64" s="4"/>
      <c r="C64" s="13" t="s">
        <v>130</v>
      </c>
      <c r="D64" s="5"/>
      <c r="E64" s="8"/>
      <c r="F64" s="8"/>
      <c r="G64" s="4"/>
      <c r="H64" s="69"/>
      <c r="I64" s="2"/>
      <c r="Q64" s="2"/>
      <c r="R64" s="2"/>
    </row>
    <row r="65" spans="1:25" ht="12" customHeight="1" x14ac:dyDescent="0.25">
      <c r="A65" s="68"/>
      <c r="B65" s="4"/>
      <c r="C65" s="4" t="str">
        <f>IF(E10=Q126,"",IF(E10=Q127,"Investitionskosten Einzelfahrzeug",IF(E10=Q128,"mtl. Leasing- bzw. Mietkosten Einzelfahrzeug","error")))</f>
        <v/>
      </c>
      <c r="D65" s="5">
        <f>IF(E65&gt;0,1,0)</f>
        <v>0</v>
      </c>
      <c r="E65" s="17"/>
      <c r="F65" s="4" t="str">
        <f>IF(E6=N127,"EUR netto",IF(E6=N128,"EUR brutto",""))</f>
        <v/>
      </c>
      <c r="G65" s="4"/>
      <c r="H65" s="69"/>
      <c r="I65" s="2"/>
      <c r="Q65" s="2"/>
      <c r="R65" s="2"/>
    </row>
    <row r="66" spans="1:25" ht="12" customHeight="1" x14ac:dyDescent="0.25">
      <c r="A66" s="68"/>
      <c r="B66" s="4"/>
      <c r="C66" s="4" t="str">
        <f>IF(OR(E13=R127,E13=R129),"Investitionskosten Infrastruktur","")</f>
        <v/>
      </c>
      <c r="D66" s="5">
        <f>IF(F66="Bitte löschen Sie die eigene Angabe",0,1)</f>
        <v>1</v>
      </c>
      <c r="E66" s="17"/>
      <c r="F66" s="4" t="str">
        <f>IF(AND(C66="",E66&gt;0),"Bitte löschen Sie die eigene Angabe",IF(E6=N127,"EUR netto",IF(E6=N128,"EUR brutto","")))</f>
        <v/>
      </c>
      <c r="G66" s="4"/>
      <c r="H66" s="69"/>
      <c r="I66" s="2"/>
      <c r="Q66" s="2"/>
      <c r="R66" s="2"/>
    </row>
    <row r="67" spans="1:25" ht="12" customHeight="1" x14ac:dyDescent="0.25">
      <c r="A67" s="68"/>
      <c r="B67" s="4"/>
      <c r="C67" s="21" t="str">
        <f>IF(OR(E13=R128,E13=R129),"mtl. Leasing- bzw. Mietkosten Infrastruktur","")</f>
        <v/>
      </c>
      <c r="D67" s="5">
        <f>IF(F67="Bitte löschen Sie die eigene Angabe",0,1)</f>
        <v>1</v>
      </c>
      <c r="E67" s="17"/>
      <c r="F67" s="4" t="str">
        <f>IF(AND(C67="",E67&gt;0),"Bitte löschen Sie die eigene Angabe",IF(E6=N127,"EUR netto",IF(E6=N128,"EUR brutto","")))</f>
        <v/>
      </c>
      <c r="G67" s="4"/>
      <c r="H67" s="69"/>
      <c r="I67" s="2"/>
      <c r="Q67" s="2"/>
      <c r="R67" s="2"/>
    </row>
    <row r="68" spans="1:25" ht="26.45" customHeight="1" x14ac:dyDescent="0.25">
      <c r="A68" s="68"/>
      <c r="B68" s="4"/>
      <c r="C68" s="7"/>
      <c r="D68" s="5"/>
      <c r="E68" s="5"/>
      <c r="F68" s="4"/>
      <c r="G68" s="4"/>
      <c r="H68" s="69"/>
      <c r="I68" s="2"/>
      <c r="Q68" s="2"/>
      <c r="R68" s="2"/>
    </row>
    <row r="69" spans="1:25" ht="6" hidden="1" customHeight="1" x14ac:dyDescent="0.25">
      <c r="A69" s="68"/>
      <c r="B69" s="4"/>
      <c r="C69" s="22"/>
      <c r="D69" s="22">
        <v>1</v>
      </c>
      <c r="E69" s="22"/>
      <c r="F69" s="22"/>
      <c r="G69" s="22"/>
      <c r="H69" s="69"/>
      <c r="I69" s="2"/>
      <c r="Q69" s="2"/>
      <c r="R69" s="2"/>
    </row>
    <row r="70" spans="1:25" s="72" customFormat="1" ht="12" customHeight="1" x14ac:dyDescent="0.25">
      <c r="A70" s="68"/>
      <c r="B70" s="74"/>
      <c r="C70" s="74"/>
      <c r="D70" s="74"/>
      <c r="E70" s="74"/>
      <c r="F70" s="74"/>
      <c r="G70" s="74"/>
      <c r="H70" s="69"/>
      <c r="I70" s="73"/>
      <c r="Q70" s="73"/>
      <c r="R70" s="73"/>
      <c r="S70" s="73"/>
      <c r="T70" s="73"/>
      <c r="U70" s="73"/>
      <c r="V70" s="73"/>
      <c r="W70" s="73"/>
      <c r="X70" s="73"/>
      <c r="Y70" s="73"/>
    </row>
    <row r="71" spans="1:25" ht="12" customHeight="1" x14ac:dyDescent="0.25">
      <c r="A71" s="68"/>
      <c r="B71" s="4"/>
      <c r="C71" s="4"/>
      <c r="D71" s="4"/>
      <c r="E71" s="4"/>
      <c r="F71" s="4"/>
      <c r="G71" s="4"/>
      <c r="H71" s="69"/>
      <c r="I71" s="2"/>
      <c r="Q71" s="2"/>
      <c r="R71" s="2"/>
    </row>
    <row r="72" spans="1:25" ht="12" customHeight="1" collapsed="1" x14ac:dyDescent="0.25">
      <c r="A72" s="68"/>
      <c r="B72" s="4"/>
      <c r="C72" s="4"/>
      <c r="D72" s="4"/>
      <c r="E72" s="4"/>
      <c r="F72" s="4"/>
      <c r="G72" s="4"/>
      <c r="H72" s="69"/>
      <c r="I72" s="2"/>
      <c r="Q72" s="2"/>
      <c r="R72" s="2"/>
    </row>
    <row r="73" spans="1:25" ht="15" customHeight="1" x14ac:dyDescent="0.25">
      <c r="A73" s="68"/>
      <c r="B73" s="4"/>
      <c r="C73" s="62" t="s">
        <v>110</v>
      </c>
      <c r="D73" s="8"/>
      <c r="E73" s="4"/>
      <c r="F73" s="7"/>
      <c r="G73" s="4"/>
      <c r="H73" s="69"/>
      <c r="I73" s="2"/>
      <c r="Q73" s="2"/>
      <c r="R73" s="2"/>
    </row>
    <row r="74" spans="1:25" ht="12" customHeight="1" x14ac:dyDescent="0.25">
      <c r="A74" s="68"/>
      <c r="B74" s="4"/>
      <c r="C74" s="7" t="s">
        <v>85</v>
      </c>
      <c r="D74" s="7"/>
      <c r="E74" s="24" t="str">
        <f>IF(T147=0,T146,Y144)</f>
        <v>Eingabefelder bitte ausfüllen</v>
      </c>
      <c r="F74" s="7" t="s">
        <v>109</v>
      </c>
      <c r="G74" s="4"/>
      <c r="H74" s="69"/>
      <c r="I74" s="77"/>
      <c r="Q74" s="2"/>
      <c r="R74" s="2"/>
    </row>
    <row r="75" spans="1:25" ht="12" customHeight="1" x14ac:dyDescent="0.25">
      <c r="A75" s="68"/>
      <c r="B75" s="4"/>
      <c r="C75" s="7" t="s">
        <v>86</v>
      </c>
      <c r="D75" s="7"/>
      <c r="E75" s="24" t="str">
        <f>IF(T147=0,T146,Y143)</f>
        <v>Eingabefelder bitte ausfüllen</v>
      </c>
      <c r="F75" s="7" t="s">
        <v>109</v>
      </c>
      <c r="G75" s="4"/>
      <c r="H75" s="69"/>
      <c r="I75" s="2"/>
      <c r="Q75" s="2"/>
      <c r="R75" s="2"/>
    </row>
    <row r="76" spans="1:25" ht="12" customHeight="1" x14ac:dyDescent="0.25">
      <c r="A76" s="68"/>
      <c r="B76" s="4"/>
      <c r="C76" s="7" t="str">
        <f>IF(T147=0,"Einsparung CO2e-Emissionen",IF($E$74-$E$75&gt;0,"Einsparung, absolut","Zuwachs, absolut"))</f>
        <v>Einsparung CO2e-Emissionen</v>
      </c>
      <c r="D76" s="7"/>
      <c r="E76" s="24" t="str">
        <f>IF(T147=0,T146,IF(E74-E75&gt;0,E74-E75,E75-E74))</f>
        <v>Eingabefelder bitte ausfüllen</v>
      </c>
      <c r="F76" s="7" t="s">
        <v>109</v>
      </c>
      <c r="G76" s="4"/>
      <c r="H76" s="69"/>
      <c r="I76" s="2"/>
      <c r="Q76" s="2"/>
      <c r="R76" s="2"/>
    </row>
    <row r="77" spans="1:25" ht="12" customHeight="1" x14ac:dyDescent="0.25">
      <c r="A77" s="68"/>
      <c r="B77" s="4"/>
      <c r="C77" s="7" t="str">
        <f>IF(T147=0,"Einsparung CO2e-Emissionen",IF($E$74-$E$75&gt;0,"Einsparung, relativ","Zuwachs, relativ"))</f>
        <v>Einsparung CO2e-Emissionen</v>
      </c>
      <c r="D77" s="7"/>
      <c r="E77" s="25" t="str">
        <f>IF(T147=0,T146,IF(E74-E75&gt;0,E76/E74,E76/E74))</f>
        <v>Eingabefelder bitte ausfüllen</v>
      </c>
      <c r="F77" s="26" t="s">
        <v>28</v>
      </c>
      <c r="G77" s="4"/>
      <c r="H77" s="69"/>
      <c r="I77" s="2"/>
      <c r="Q77" s="2"/>
      <c r="R77" s="2"/>
    </row>
    <row r="78" spans="1:25" ht="12" customHeight="1" x14ac:dyDescent="0.25">
      <c r="A78" s="68"/>
      <c r="B78" s="4"/>
      <c r="C78" s="7" t="s">
        <v>61</v>
      </c>
      <c r="D78" s="7"/>
      <c r="E78" s="24" t="str">
        <f>IF(T147=0,T146,IF(C76="Einsparung, absolut",ROUNDDOWN(E76*1000/V136,0),"keine Einsparung"))</f>
        <v>Eingabefelder bitte ausfüllen</v>
      </c>
      <c r="F78" s="26" t="s">
        <v>119</v>
      </c>
      <c r="G78" s="4"/>
      <c r="H78" s="69"/>
      <c r="I78" s="2"/>
      <c r="Q78" s="2"/>
      <c r="R78" s="2"/>
    </row>
    <row r="79" spans="1:25" ht="12" customHeight="1" x14ac:dyDescent="0.25">
      <c r="A79" s="68"/>
      <c r="B79" s="4"/>
      <c r="C79" s="7" t="s">
        <v>47</v>
      </c>
      <c r="D79" s="7"/>
      <c r="E79" s="27" t="str">
        <f>IF(T147=0,T146,IF(E74-E75&gt;0,IF(E78&gt;=35,"ja","nein"),"nein"))</f>
        <v>Eingabefelder bitte ausfüllen</v>
      </c>
      <c r="F79" s="4"/>
      <c r="G79" s="4"/>
      <c r="H79" s="69"/>
      <c r="I79" s="2"/>
      <c r="Q79" s="2"/>
      <c r="R79" s="2"/>
    </row>
    <row r="80" spans="1:25" ht="45.6" customHeight="1" x14ac:dyDescent="0.25">
      <c r="A80" s="68"/>
      <c r="B80" s="4"/>
      <c r="C80" s="4"/>
      <c r="D80" s="4"/>
      <c r="E80" s="76" t="str">
        <f>IF(AND(E79="ja",E42=K128,E60=G129),"Hinweis: Durch die Verwendung von Ökostrom lassen sich deutlich größere CO2e-Einsparungen erzielen",IF(E79="nein",IF(E42="Elektrisch","Empfehlung: Ökostrom verwenden",IF(E61=M129,"Empfehlung: Biogas verwenden","Empfehlung: Auf Elektroantrieb umstellen")),""))</f>
        <v/>
      </c>
      <c r="F80" s="4"/>
      <c r="G80" s="4"/>
      <c r="H80" s="69"/>
      <c r="I80" s="2"/>
      <c r="Q80" s="2"/>
      <c r="R80" s="2"/>
    </row>
    <row r="81" spans="1:25" ht="12" customHeight="1" x14ac:dyDescent="0.25">
      <c r="A81" s="68"/>
      <c r="B81" s="4"/>
      <c r="C81" s="4"/>
      <c r="D81" s="4"/>
      <c r="E81" s="4"/>
      <c r="F81" s="4"/>
      <c r="G81" s="4"/>
      <c r="H81" s="69"/>
      <c r="I81" s="2"/>
      <c r="Q81" s="2"/>
      <c r="R81" s="2"/>
    </row>
    <row r="82" spans="1:25" ht="12" customHeight="1" x14ac:dyDescent="0.25">
      <c r="A82" s="68"/>
      <c r="B82" s="4"/>
      <c r="C82" s="4"/>
      <c r="D82" s="4"/>
      <c r="E82" s="4"/>
      <c r="F82" s="67" t="s">
        <v>139</v>
      </c>
      <c r="G82" s="4"/>
      <c r="H82" s="69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25" ht="12" customHeight="1" x14ac:dyDescent="0.25">
      <c r="A83" s="68"/>
      <c r="B83" s="4"/>
      <c r="C83" s="4"/>
      <c r="D83" s="4"/>
      <c r="E83" s="4"/>
      <c r="F83" s="67" t="s">
        <v>132</v>
      </c>
      <c r="G83" s="4"/>
      <c r="H83" s="69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25" ht="12" customHeight="1" x14ac:dyDescent="0.25">
      <c r="A84" s="68"/>
      <c r="B84" s="4"/>
      <c r="C84" s="4"/>
      <c r="D84" s="4"/>
      <c r="E84" s="4"/>
      <c r="F84" s="4"/>
      <c r="G84" s="4"/>
      <c r="H84" s="69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25" s="72" customFormat="1" ht="12" customHeight="1" x14ac:dyDescent="0.25">
      <c r="A85" s="68"/>
      <c r="B85" s="74"/>
      <c r="C85" s="74"/>
      <c r="D85" s="74"/>
      <c r="E85" s="74"/>
      <c r="F85" s="74"/>
      <c r="G85" s="74"/>
      <c r="H85" s="69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</row>
    <row r="86" spans="1:25" ht="12" customHeight="1" x14ac:dyDescent="0.25">
      <c r="A86" s="68"/>
      <c r="B86" s="4"/>
      <c r="C86" s="4"/>
      <c r="D86" s="4"/>
      <c r="E86" s="4"/>
      <c r="F86" s="4"/>
      <c r="G86" s="4"/>
      <c r="H86" s="69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25" ht="12" customHeight="1" x14ac:dyDescent="0.25">
      <c r="A87" s="68"/>
      <c r="B87" s="4"/>
      <c r="C87" s="86" t="s">
        <v>115</v>
      </c>
      <c r="D87" s="86"/>
      <c r="E87" s="86"/>
      <c r="F87" s="86"/>
      <c r="G87" s="4"/>
      <c r="H87" s="69"/>
    </row>
    <row r="88" spans="1:25" ht="12" customHeight="1" x14ac:dyDescent="0.25">
      <c r="A88" s="68"/>
      <c r="B88" s="4"/>
      <c r="C88" s="86"/>
      <c r="D88" s="86"/>
      <c r="E88" s="86"/>
      <c r="F88" s="86"/>
      <c r="G88" s="4"/>
      <c r="H88" s="69"/>
    </row>
    <row r="89" spans="1:25" ht="12" customHeight="1" x14ac:dyDescent="0.25">
      <c r="A89" s="68"/>
      <c r="B89" s="4"/>
      <c r="C89" s="86" t="s">
        <v>113</v>
      </c>
      <c r="D89" s="86"/>
      <c r="E89" s="86"/>
      <c r="F89" s="86" t="s">
        <v>114</v>
      </c>
      <c r="G89" s="4"/>
      <c r="H89" s="69"/>
    </row>
    <row r="90" spans="1:25" ht="12" customHeight="1" x14ac:dyDescent="0.25">
      <c r="A90" s="68"/>
      <c r="B90" s="4"/>
      <c r="C90" s="66"/>
      <c r="D90" s="66"/>
      <c r="E90" s="66"/>
      <c r="F90" s="66"/>
      <c r="G90" s="4"/>
      <c r="H90" s="69"/>
    </row>
    <row r="91" spans="1:25" ht="12" customHeight="1" x14ac:dyDescent="0.25">
      <c r="A91" s="68"/>
      <c r="B91" s="4"/>
      <c r="C91" s="66"/>
      <c r="D91" s="66"/>
      <c r="E91" s="66"/>
      <c r="F91" s="66"/>
      <c r="G91" s="4"/>
      <c r="H91" s="69"/>
    </row>
    <row r="92" spans="1:25" ht="12" customHeight="1" x14ac:dyDescent="0.25">
      <c r="A92" s="68"/>
      <c r="B92" s="4"/>
      <c r="C92" s="66"/>
      <c r="D92" s="66"/>
      <c r="E92" s="66"/>
      <c r="F92" s="66"/>
      <c r="G92" s="4"/>
      <c r="H92" s="69"/>
    </row>
    <row r="93" spans="1:25" ht="12" customHeight="1" x14ac:dyDescent="0.25">
      <c r="A93" s="68"/>
      <c r="B93" s="4"/>
      <c r="C93" s="66"/>
      <c r="D93" s="66"/>
      <c r="E93" s="66"/>
      <c r="F93" s="66"/>
      <c r="G93" s="4"/>
      <c r="H93" s="69"/>
    </row>
    <row r="94" spans="1:25" ht="12" customHeight="1" x14ac:dyDescent="0.25">
      <c r="A94" s="68"/>
      <c r="B94" s="4"/>
      <c r="C94" s="66"/>
      <c r="D94" s="66"/>
      <c r="E94" s="66"/>
      <c r="F94" s="66"/>
      <c r="G94" s="4"/>
      <c r="H94" s="69"/>
    </row>
    <row r="95" spans="1:25" ht="12" customHeight="1" x14ac:dyDescent="0.25">
      <c r="A95" s="68"/>
      <c r="B95" s="4"/>
      <c r="C95" s="4"/>
      <c r="D95" s="4"/>
      <c r="E95" s="4"/>
      <c r="F95" s="4"/>
      <c r="G95" s="4"/>
      <c r="H95" s="69"/>
    </row>
    <row r="96" spans="1:25" s="72" customFormat="1" ht="12" customHeight="1" x14ac:dyDescent="0.25">
      <c r="A96" s="68"/>
      <c r="B96" s="68"/>
      <c r="C96" s="68"/>
      <c r="D96" s="68"/>
      <c r="E96" s="68"/>
      <c r="F96" s="68"/>
      <c r="G96" s="68"/>
      <c r="H96" s="69"/>
      <c r="S96" s="73"/>
      <c r="T96" s="73"/>
      <c r="U96" s="73"/>
      <c r="V96" s="73"/>
      <c r="W96" s="73"/>
      <c r="X96" s="73"/>
      <c r="Y96" s="73"/>
    </row>
    <row r="97" spans="3:26" ht="12" customHeight="1" x14ac:dyDescent="0.25">
      <c r="J97" s="29"/>
      <c r="K97" s="29"/>
      <c r="L97" s="29"/>
      <c r="S97" s="30"/>
      <c r="T97" s="30"/>
      <c r="U97" s="30"/>
      <c r="V97" s="30"/>
      <c r="W97" s="30"/>
      <c r="X97" s="30"/>
    </row>
    <row r="98" spans="3:26" ht="12" customHeight="1" x14ac:dyDescent="0.25">
      <c r="J98" s="29"/>
      <c r="K98" s="29"/>
      <c r="L98" s="29"/>
      <c r="S98" s="30"/>
      <c r="T98" s="30"/>
      <c r="U98" s="30"/>
      <c r="V98" s="30"/>
      <c r="W98" s="30"/>
      <c r="X98" s="30"/>
    </row>
    <row r="99" spans="3:26" ht="12" customHeight="1" x14ac:dyDescent="0.25">
      <c r="S99" s="30"/>
      <c r="T99" s="30"/>
      <c r="U99" s="30"/>
      <c r="V99" s="30"/>
      <c r="W99" s="30"/>
      <c r="X99" s="30"/>
    </row>
    <row r="100" spans="3:26" ht="12" customHeight="1" x14ac:dyDescent="0.25">
      <c r="S100" s="30"/>
      <c r="T100" s="30"/>
      <c r="U100" s="30"/>
      <c r="V100" s="30"/>
      <c r="W100" s="30"/>
      <c r="X100" s="30"/>
    </row>
    <row r="101" spans="3:26" ht="12" customHeight="1" x14ac:dyDescent="0.25">
      <c r="S101" s="30"/>
      <c r="T101" s="30"/>
      <c r="U101" s="30"/>
      <c r="V101" s="30"/>
      <c r="W101" s="30"/>
      <c r="X101" s="30"/>
    </row>
    <row r="102" spans="3:26" ht="12" hidden="1" customHeight="1" outlineLevel="1" x14ac:dyDescent="0.25">
      <c r="C102" s="31" t="s">
        <v>24</v>
      </c>
      <c r="D102" s="32" t="s">
        <v>22</v>
      </c>
      <c r="E102" s="32"/>
      <c r="F102" s="32"/>
      <c r="G102" s="32"/>
      <c r="H102" s="33" t="s">
        <v>23</v>
      </c>
      <c r="I102" s="33"/>
      <c r="J102" s="33"/>
      <c r="K102" s="33"/>
      <c r="L102" s="34"/>
      <c r="M102" s="34"/>
      <c r="S102" s="30"/>
      <c r="T102" s="30"/>
      <c r="U102" s="30"/>
      <c r="V102" s="30"/>
      <c r="W102" s="30"/>
      <c r="X102" s="30"/>
    </row>
    <row r="103" spans="3:26" ht="12" hidden="1" customHeight="1" outlineLevel="1" x14ac:dyDescent="0.25">
      <c r="C103" s="34"/>
      <c r="D103" s="32" t="s">
        <v>20</v>
      </c>
      <c r="E103" s="32" t="s">
        <v>20</v>
      </c>
      <c r="F103" s="32" t="s">
        <v>21</v>
      </c>
      <c r="G103" s="32" t="s">
        <v>21</v>
      </c>
      <c r="H103" s="33" t="s">
        <v>20</v>
      </c>
      <c r="I103" s="33" t="s">
        <v>20</v>
      </c>
      <c r="J103" s="33" t="s">
        <v>21</v>
      </c>
      <c r="K103" s="33" t="s">
        <v>21</v>
      </c>
      <c r="L103" s="34"/>
      <c r="M103" s="34"/>
      <c r="S103" s="30"/>
      <c r="T103" s="30"/>
      <c r="U103" s="30"/>
      <c r="V103" s="30"/>
      <c r="W103" s="30"/>
      <c r="X103" s="30"/>
    </row>
    <row r="104" spans="3:26" ht="12" hidden="1" customHeight="1" outlineLevel="1" x14ac:dyDescent="0.25">
      <c r="C104" s="34"/>
      <c r="D104" s="32" t="s">
        <v>16</v>
      </c>
      <c r="E104" s="32" t="s">
        <v>17</v>
      </c>
      <c r="F104" s="32" t="s">
        <v>16</v>
      </c>
      <c r="G104" s="32" t="s">
        <v>17</v>
      </c>
      <c r="H104" s="33" t="s">
        <v>18</v>
      </c>
      <c r="I104" s="33" t="s">
        <v>19</v>
      </c>
      <c r="J104" s="33" t="s">
        <v>18</v>
      </c>
      <c r="K104" s="33" t="s">
        <v>19</v>
      </c>
      <c r="L104" s="34"/>
      <c r="M104" s="34"/>
      <c r="S104" s="30"/>
      <c r="T104" s="30"/>
      <c r="U104" s="30"/>
      <c r="V104" s="30"/>
      <c r="W104" s="30"/>
      <c r="X104" s="30"/>
    </row>
    <row r="105" spans="3:26" ht="12" hidden="1" customHeight="1" outlineLevel="1" x14ac:dyDescent="0.25">
      <c r="C105" s="35" t="s">
        <v>8</v>
      </c>
      <c r="D105" s="36">
        <v>43.2</v>
      </c>
      <c r="E105" s="36">
        <v>32.200000000000003</v>
      </c>
      <c r="F105" s="36">
        <v>50.5</v>
      </c>
      <c r="G105" s="36">
        <v>37.700000000000003</v>
      </c>
      <c r="H105" s="36">
        <v>3.25</v>
      </c>
      <c r="I105" s="37">
        <v>2.42</v>
      </c>
      <c r="J105" s="36">
        <v>3.86</v>
      </c>
      <c r="K105" s="36">
        <v>2.88</v>
      </c>
      <c r="L105" s="34"/>
      <c r="M105" s="34"/>
      <c r="S105" s="30"/>
      <c r="T105" s="30"/>
      <c r="U105" s="30"/>
      <c r="V105" s="30"/>
      <c r="W105" s="30"/>
      <c r="X105" s="30"/>
    </row>
    <row r="106" spans="3:26" ht="12" hidden="1" customHeight="1" outlineLevel="1" x14ac:dyDescent="0.25">
      <c r="C106" s="35" t="s">
        <v>9</v>
      </c>
      <c r="D106" s="36">
        <v>26.8</v>
      </c>
      <c r="E106" s="36">
        <v>21.3</v>
      </c>
      <c r="F106" s="36">
        <v>65.7</v>
      </c>
      <c r="G106" s="36">
        <v>52.1</v>
      </c>
      <c r="H106" s="36">
        <v>0</v>
      </c>
      <c r="I106" s="37">
        <v>0</v>
      </c>
      <c r="J106" s="36">
        <v>1.56</v>
      </c>
      <c r="K106" s="36">
        <v>1.24</v>
      </c>
      <c r="L106" s="34"/>
      <c r="M106" s="34"/>
      <c r="S106" s="30"/>
      <c r="T106" s="30"/>
      <c r="U106" s="30"/>
      <c r="V106" s="30"/>
      <c r="W106" s="30"/>
      <c r="X106" s="30"/>
    </row>
    <row r="107" spans="3:26" ht="12" hidden="1" customHeight="1" outlineLevel="1" x14ac:dyDescent="0.25">
      <c r="C107" s="35" t="s">
        <v>10</v>
      </c>
      <c r="D107" s="36">
        <v>42.4</v>
      </c>
      <c r="E107" s="36">
        <v>31.7</v>
      </c>
      <c r="F107" s="36">
        <v>51.4</v>
      </c>
      <c r="G107" s="36">
        <v>38.4</v>
      </c>
      <c r="H107" s="36">
        <v>3.08</v>
      </c>
      <c r="I107" s="37">
        <v>2.2999999999999998</v>
      </c>
      <c r="J107" s="36">
        <v>3.74</v>
      </c>
      <c r="K107" s="36">
        <v>2.8</v>
      </c>
      <c r="L107" s="34"/>
      <c r="M107" s="34"/>
      <c r="S107" s="30"/>
      <c r="T107" s="30"/>
      <c r="U107" s="30"/>
      <c r="V107" s="30"/>
      <c r="W107" s="30"/>
      <c r="X107" s="30"/>
      <c r="Z107" s="38"/>
    </row>
    <row r="108" spans="3:26" ht="12" hidden="1" customHeight="1" outlineLevel="1" x14ac:dyDescent="0.25">
      <c r="C108" s="35" t="s">
        <v>11</v>
      </c>
      <c r="D108" s="36">
        <v>41.5</v>
      </c>
      <c r="E108" s="36">
        <v>31.1</v>
      </c>
      <c r="F108" s="36">
        <v>52.2</v>
      </c>
      <c r="G108" s="36">
        <v>39.1</v>
      </c>
      <c r="H108" s="36">
        <v>2.9</v>
      </c>
      <c r="I108" s="37">
        <v>2.1800000000000002</v>
      </c>
      <c r="J108" s="36">
        <v>3.62</v>
      </c>
      <c r="K108" s="36">
        <v>2.72</v>
      </c>
      <c r="L108" s="34"/>
      <c r="M108" s="34"/>
      <c r="S108" s="30"/>
      <c r="T108" s="30"/>
      <c r="U108" s="30"/>
      <c r="V108" s="30"/>
      <c r="W108" s="30"/>
      <c r="X108" s="30"/>
    </row>
    <row r="109" spans="3:26" ht="12" hidden="1" customHeight="1" outlineLevel="1" x14ac:dyDescent="0.25">
      <c r="C109" s="35" t="s">
        <v>0</v>
      </c>
      <c r="D109" s="36">
        <v>43.1</v>
      </c>
      <c r="E109" s="36">
        <v>35.9</v>
      </c>
      <c r="F109" s="36">
        <v>51.3</v>
      </c>
      <c r="G109" s="36">
        <v>42.7</v>
      </c>
      <c r="H109" s="36">
        <v>3.21</v>
      </c>
      <c r="I109" s="37">
        <v>2.67</v>
      </c>
      <c r="J109" s="36">
        <v>3.9</v>
      </c>
      <c r="K109" s="36">
        <v>3.24</v>
      </c>
      <c r="L109" s="34"/>
      <c r="M109" s="34"/>
      <c r="S109" s="3"/>
      <c r="T109" s="3"/>
      <c r="U109" s="3"/>
      <c r="V109" s="3"/>
      <c r="W109" s="3"/>
      <c r="X109" s="3"/>
      <c r="Y109" s="3"/>
    </row>
    <row r="110" spans="3:26" ht="12" hidden="1" customHeight="1" outlineLevel="1" x14ac:dyDescent="0.25">
      <c r="C110" s="35" t="s">
        <v>12</v>
      </c>
      <c r="D110" s="36">
        <v>36.799999999999997</v>
      </c>
      <c r="E110" s="36">
        <v>32.799999999999997</v>
      </c>
      <c r="F110" s="36">
        <v>76.900000000000006</v>
      </c>
      <c r="G110" s="36">
        <v>68.5</v>
      </c>
      <c r="H110" s="36">
        <v>0</v>
      </c>
      <c r="I110" s="37">
        <v>0</v>
      </c>
      <c r="J110" s="36">
        <v>2.16</v>
      </c>
      <c r="K110" s="36">
        <v>1.92</v>
      </c>
      <c r="L110" s="34"/>
      <c r="M110" s="34"/>
      <c r="S110" s="3"/>
      <c r="T110" s="3"/>
      <c r="U110" s="3"/>
      <c r="V110" s="3"/>
      <c r="W110" s="3"/>
      <c r="X110" s="3"/>
      <c r="Y110" s="3"/>
    </row>
    <row r="111" spans="3:26" ht="12" hidden="1" customHeight="1" outlineLevel="1" x14ac:dyDescent="0.25">
      <c r="C111" s="35" t="s">
        <v>13</v>
      </c>
      <c r="D111" s="36">
        <v>42.7</v>
      </c>
      <c r="E111" s="36">
        <v>35.700000000000003</v>
      </c>
      <c r="F111" s="36">
        <v>53.2</v>
      </c>
      <c r="G111" s="36">
        <v>44.5</v>
      </c>
      <c r="H111" s="36">
        <v>2.97</v>
      </c>
      <c r="I111" s="37">
        <v>2.48</v>
      </c>
      <c r="J111" s="36">
        <v>3.76</v>
      </c>
      <c r="K111" s="36">
        <v>3.15</v>
      </c>
      <c r="L111" s="34"/>
      <c r="M111" s="34"/>
      <c r="S111" s="3"/>
      <c r="T111" s="3"/>
      <c r="U111" s="3"/>
      <c r="V111" s="3"/>
      <c r="W111" s="3"/>
      <c r="X111" s="3"/>
      <c r="Y111" s="3"/>
    </row>
    <row r="112" spans="3:26" ht="12" hidden="1" customHeight="1" outlineLevel="1" x14ac:dyDescent="0.25">
      <c r="C112" s="35" t="s">
        <v>14</v>
      </c>
      <c r="D112" s="36">
        <v>45.1</v>
      </c>
      <c r="E112" s="36" t="s">
        <v>7</v>
      </c>
      <c r="F112" s="36">
        <v>50.5</v>
      </c>
      <c r="G112" s="36" t="s">
        <v>7</v>
      </c>
      <c r="H112" s="37">
        <v>2.68</v>
      </c>
      <c r="I112" s="36" t="s">
        <v>7</v>
      </c>
      <c r="J112" s="36">
        <v>3.07</v>
      </c>
      <c r="K112" s="36" t="s">
        <v>7</v>
      </c>
      <c r="L112" s="34"/>
      <c r="M112" s="34"/>
      <c r="S112" s="3"/>
      <c r="T112" s="3"/>
      <c r="U112" s="3"/>
      <c r="V112" s="3"/>
      <c r="W112" s="3"/>
      <c r="X112" s="3"/>
      <c r="Y112" s="3"/>
    </row>
    <row r="113" spans="3:26" ht="12" hidden="1" customHeight="1" outlineLevel="1" x14ac:dyDescent="0.25">
      <c r="C113" s="35" t="s">
        <v>15</v>
      </c>
      <c r="D113" s="36">
        <v>46</v>
      </c>
      <c r="E113" s="36">
        <v>25.3</v>
      </c>
      <c r="F113" s="36">
        <v>51.5</v>
      </c>
      <c r="G113" s="36">
        <v>28.3</v>
      </c>
      <c r="H113" s="37">
        <v>3.1</v>
      </c>
      <c r="I113" s="36">
        <v>1.7</v>
      </c>
      <c r="J113" s="36">
        <v>3.46</v>
      </c>
      <c r="K113" s="36">
        <v>1.9</v>
      </c>
      <c r="L113" s="34"/>
      <c r="M113" s="34"/>
      <c r="S113" s="3"/>
      <c r="T113" s="3"/>
      <c r="U113" s="3"/>
      <c r="V113" s="3"/>
      <c r="W113" s="3"/>
      <c r="X113" s="3"/>
      <c r="Y113" s="3"/>
    </row>
    <row r="114" spans="3:26" ht="12" hidden="1" customHeight="1" outlineLevel="1" x14ac:dyDescent="0.25">
      <c r="C114" s="35" t="s">
        <v>25</v>
      </c>
      <c r="D114" s="40"/>
      <c r="E114" s="40"/>
      <c r="F114" s="40"/>
      <c r="G114" s="40"/>
      <c r="H114" s="40"/>
      <c r="I114" s="41">
        <v>2.6</v>
      </c>
      <c r="J114" s="40"/>
      <c r="K114" s="40"/>
      <c r="L114" s="34"/>
      <c r="M114" s="34"/>
      <c r="S114" s="3"/>
      <c r="T114" s="3"/>
      <c r="U114" s="3"/>
      <c r="V114" s="3"/>
      <c r="W114" s="3"/>
      <c r="X114" s="3"/>
      <c r="Y114" s="3"/>
    </row>
    <row r="115" spans="3:26" ht="12" hidden="1" customHeight="1" outlineLevel="1" x14ac:dyDescent="0.2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S115" s="3"/>
      <c r="T115" s="3"/>
      <c r="U115" s="3"/>
      <c r="V115" s="3"/>
      <c r="W115" s="3"/>
      <c r="X115" s="3"/>
      <c r="Y115" s="3"/>
    </row>
    <row r="116" spans="3:26" ht="12" hidden="1" customHeight="1" outlineLevel="1" x14ac:dyDescent="0.25">
      <c r="C116" s="42" t="s">
        <v>2</v>
      </c>
      <c r="D116" s="42" t="s">
        <v>6</v>
      </c>
      <c r="E116" s="35" t="str">
        <f>C126</f>
        <v>Bitte wählen Sie…</v>
      </c>
      <c r="F116" s="35" t="str">
        <f>C127</f>
        <v>Kleinfahrzeug (bis 6,0 m)</v>
      </c>
      <c r="G116" s="35" t="str">
        <f>C128</f>
        <v>Minibus (6,0 - 8,0 m)</v>
      </c>
      <c r="H116" s="35" t="str">
        <f>C129</f>
        <v>Midibus (8,0 - 10,0 m)</v>
      </c>
      <c r="I116" s="35" t="str">
        <f>C130</f>
        <v>Standardbus (10,0 - 13,5 m)</v>
      </c>
      <c r="J116" s="35" t="str">
        <f>C131</f>
        <v>3-Achs-Standardbus (13,5 - 15,0 m)</v>
      </c>
      <c r="K116" s="35" t="str">
        <f>C132</f>
        <v>Gelenkbus (18,0 - 18,75 m)</v>
      </c>
      <c r="L116" s="35" t="str">
        <f>C133</f>
        <v>4-Achs-Gelenkbus (19,0 - 21,0 m)</v>
      </c>
      <c r="M116" s="35" t="str">
        <f>C134</f>
        <v>Doppelgelenkbus (21,0 - 24,8 m)</v>
      </c>
      <c r="N116" s="35" t="str">
        <f>C135</f>
        <v>Buszug (21,0 - 25,7 m)</v>
      </c>
      <c r="O116" s="35"/>
      <c r="S116" s="3"/>
      <c r="T116" s="3"/>
      <c r="U116" s="3"/>
      <c r="V116" s="3"/>
      <c r="W116" s="3"/>
      <c r="X116" s="3"/>
      <c r="Y116" s="3"/>
    </row>
    <row r="117" spans="3:26" ht="12" hidden="1" customHeight="1" outlineLevel="1" x14ac:dyDescent="0.25">
      <c r="C117" s="34" t="s">
        <v>3</v>
      </c>
      <c r="D117" s="35" t="str">
        <f>K128</f>
        <v>Elektrisch</v>
      </c>
      <c r="E117" s="45"/>
      <c r="F117" s="45">
        <f>0.35</f>
        <v>0.35</v>
      </c>
      <c r="G117" s="45">
        <v>1</v>
      </c>
      <c r="H117" s="45">
        <v>1.2</v>
      </c>
      <c r="I117" s="45">
        <v>1.5</v>
      </c>
      <c r="J117" s="45">
        <v>2</v>
      </c>
      <c r="K117" s="45">
        <v>2.5</v>
      </c>
      <c r="L117" s="45">
        <v>2.7</v>
      </c>
      <c r="M117" s="45">
        <v>3</v>
      </c>
      <c r="N117" s="45">
        <v>3</v>
      </c>
      <c r="O117" s="45"/>
      <c r="S117" s="3"/>
      <c r="T117" s="3"/>
      <c r="U117" s="3"/>
      <c r="V117" s="3"/>
      <c r="W117" s="3"/>
      <c r="X117" s="3"/>
      <c r="Y117" s="3"/>
    </row>
    <row r="118" spans="3:26" ht="12" hidden="1" customHeight="1" outlineLevel="1" x14ac:dyDescent="0.25">
      <c r="C118" s="34" t="s">
        <v>53</v>
      </c>
      <c r="D118" s="35" t="str">
        <f>K127</f>
        <v>Gas</v>
      </c>
      <c r="E118" s="45"/>
      <c r="F118" s="46">
        <v>12</v>
      </c>
      <c r="G118" s="46">
        <v>17</v>
      </c>
      <c r="H118" s="46">
        <v>28</v>
      </c>
      <c r="I118" s="47">
        <v>40</v>
      </c>
      <c r="J118" s="46">
        <v>45</v>
      </c>
      <c r="K118" s="47">
        <v>51</v>
      </c>
      <c r="L118" s="46">
        <v>56</v>
      </c>
      <c r="M118" s="46">
        <v>60</v>
      </c>
      <c r="N118" s="46">
        <v>60</v>
      </c>
      <c r="O118" s="46"/>
      <c r="S118" s="3"/>
      <c r="T118" s="3"/>
      <c r="U118" s="3"/>
      <c r="V118" s="3"/>
      <c r="W118" s="3"/>
      <c r="X118" s="3"/>
      <c r="Y118" s="3"/>
    </row>
    <row r="119" spans="3:26" ht="12" hidden="1" customHeight="1" outlineLevel="1" x14ac:dyDescent="0.25">
      <c r="C119" s="34" t="s">
        <v>54</v>
      </c>
      <c r="D119" s="35" t="str">
        <f>D128</f>
        <v>Diesel</v>
      </c>
      <c r="E119" s="45"/>
      <c r="F119" s="46">
        <v>15</v>
      </c>
      <c r="G119" s="48">
        <v>18.3</v>
      </c>
      <c r="H119" s="47">
        <v>30.6</v>
      </c>
      <c r="I119" s="47">
        <v>41.45</v>
      </c>
      <c r="J119" s="46">
        <v>47</v>
      </c>
      <c r="K119" s="47">
        <v>54.6</v>
      </c>
      <c r="L119" s="46">
        <v>58</v>
      </c>
      <c r="M119" s="46">
        <v>62</v>
      </c>
      <c r="N119" s="46">
        <v>62</v>
      </c>
      <c r="O119" s="46"/>
      <c r="S119" s="3"/>
      <c r="T119" s="3"/>
      <c r="U119" s="3"/>
      <c r="V119" s="3"/>
      <c r="W119" s="3"/>
      <c r="X119" s="3"/>
      <c r="Y119" s="3"/>
    </row>
    <row r="120" spans="3:26" ht="12" hidden="1" customHeight="1" outlineLevel="1" x14ac:dyDescent="0.25">
      <c r="C120" s="34" t="s">
        <v>54</v>
      </c>
      <c r="D120" s="35" t="str">
        <f>K129</f>
        <v>Plug-In Hybrid</v>
      </c>
      <c r="E120" s="45"/>
      <c r="F120" s="46">
        <f>0.8*F119</f>
        <v>12</v>
      </c>
      <c r="G120" s="46">
        <f t="shared" ref="G120:N120" si="0">0.8*G119</f>
        <v>14.64</v>
      </c>
      <c r="H120" s="46">
        <f t="shared" si="0"/>
        <v>24.480000000000004</v>
      </c>
      <c r="I120" s="46">
        <f t="shared" si="0"/>
        <v>33.160000000000004</v>
      </c>
      <c r="J120" s="46">
        <f t="shared" si="0"/>
        <v>37.6</v>
      </c>
      <c r="K120" s="46">
        <f t="shared" si="0"/>
        <v>43.680000000000007</v>
      </c>
      <c r="L120" s="46">
        <f t="shared" si="0"/>
        <v>46.400000000000006</v>
      </c>
      <c r="M120" s="46">
        <f t="shared" si="0"/>
        <v>49.6</v>
      </c>
      <c r="N120" s="46">
        <f t="shared" si="0"/>
        <v>49.6</v>
      </c>
      <c r="O120" s="46"/>
      <c r="S120" s="3"/>
      <c r="T120" s="3"/>
      <c r="U120" s="3"/>
      <c r="V120" s="3"/>
      <c r="W120" s="3"/>
      <c r="X120" s="3"/>
      <c r="Y120" s="3"/>
    </row>
    <row r="121" spans="3:26" ht="12" hidden="1" customHeight="1" outlineLevel="1" x14ac:dyDescent="0.25">
      <c r="C121" s="34" t="s">
        <v>53</v>
      </c>
      <c r="D121" s="35" t="str">
        <f>K130</f>
        <v>Brennstoffzelle</v>
      </c>
      <c r="E121" s="45"/>
      <c r="F121" s="46">
        <v>2</v>
      </c>
      <c r="G121" s="46">
        <v>6</v>
      </c>
      <c r="H121" s="46">
        <v>8</v>
      </c>
      <c r="I121" s="46">
        <v>10</v>
      </c>
      <c r="J121" s="46">
        <v>13</v>
      </c>
      <c r="K121" s="46">
        <v>15</v>
      </c>
      <c r="L121" s="46">
        <v>17</v>
      </c>
      <c r="M121" s="46">
        <v>18</v>
      </c>
      <c r="N121" s="46">
        <v>76</v>
      </c>
      <c r="O121" s="46"/>
      <c r="S121" s="3"/>
      <c r="T121" s="3"/>
      <c r="U121" s="3"/>
      <c r="V121" s="3"/>
      <c r="W121" s="3"/>
      <c r="X121" s="3"/>
      <c r="Y121" s="3"/>
    </row>
    <row r="122" spans="3:26" ht="12" hidden="1" customHeight="1" outlineLevel="1" x14ac:dyDescent="0.2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S122" s="3"/>
      <c r="T122" s="3"/>
      <c r="U122" s="3"/>
      <c r="V122" s="3"/>
      <c r="W122" s="3"/>
      <c r="X122" s="3"/>
      <c r="Y122" s="3"/>
    </row>
    <row r="123" spans="3:26" ht="12" hidden="1" customHeight="1" outlineLevel="1" thickBot="1" x14ac:dyDescent="0.3">
      <c r="C123" s="50" t="s">
        <v>5</v>
      </c>
      <c r="H123" s="34"/>
      <c r="I123" s="34"/>
      <c r="J123" s="34"/>
      <c r="K123" s="34"/>
      <c r="L123" s="34"/>
      <c r="M123" s="34"/>
      <c r="S123" s="3"/>
      <c r="T123" s="3"/>
      <c r="U123" s="3"/>
      <c r="V123" s="3"/>
      <c r="W123" s="3"/>
      <c r="X123" s="3"/>
      <c r="Y123" s="3"/>
    </row>
    <row r="124" spans="3:26" ht="12" hidden="1" customHeight="1" outlineLevel="1" thickTop="1" x14ac:dyDescent="0.25">
      <c r="F124" s="34"/>
      <c r="G124" s="34"/>
      <c r="H124" s="34"/>
      <c r="I124" s="34"/>
      <c r="J124" s="34"/>
      <c r="K124" s="34"/>
      <c r="L124" s="34"/>
      <c r="M124" s="34"/>
      <c r="S124" s="3"/>
      <c r="T124" s="3"/>
      <c r="U124" s="3"/>
      <c r="V124" s="3"/>
      <c r="W124" s="3"/>
      <c r="X124" s="3"/>
      <c r="Y124" s="3"/>
    </row>
    <row r="125" spans="3:26" ht="12" hidden="1" customHeight="1" outlineLevel="1" x14ac:dyDescent="0.25">
      <c r="C125" s="54" t="s">
        <v>38</v>
      </c>
      <c r="D125" s="54" t="s">
        <v>39</v>
      </c>
      <c r="E125" s="54" t="s">
        <v>43</v>
      </c>
      <c r="F125" s="54"/>
      <c r="G125" s="54" t="s">
        <v>72</v>
      </c>
      <c r="H125" s="54" t="s">
        <v>26</v>
      </c>
      <c r="I125" s="54" t="s">
        <v>78</v>
      </c>
      <c r="J125" s="54" t="s">
        <v>52</v>
      </c>
      <c r="K125" s="54" t="s">
        <v>44</v>
      </c>
      <c r="L125" s="54" t="s">
        <v>56</v>
      </c>
      <c r="M125" s="54" t="s">
        <v>71</v>
      </c>
      <c r="N125" s="54" t="s">
        <v>116</v>
      </c>
      <c r="O125" s="54" t="s">
        <v>70</v>
      </c>
      <c r="P125" s="54" t="s">
        <v>126</v>
      </c>
      <c r="Q125" s="54" t="s">
        <v>52</v>
      </c>
      <c r="R125" s="54" t="s">
        <v>136</v>
      </c>
      <c r="S125" s="3"/>
      <c r="T125" s="4" t="s">
        <v>57</v>
      </c>
      <c r="U125" s="39"/>
      <c r="V125" s="84" t="e">
        <f>IF(E10=Q127,E40*E31,E40*E31*E11)</f>
        <v>#VALUE!</v>
      </c>
      <c r="W125" s="4" t="str">
        <f>IF(E6=N127,"EUR netto",IF(E6=N128,"EUR brutto",""))</f>
        <v/>
      </c>
      <c r="X125" s="30"/>
      <c r="Y125" s="30"/>
      <c r="Z125" s="2"/>
    </row>
    <row r="126" spans="3:26" ht="12" hidden="1" customHeight="1" outlineLevel="1" x14ac:dyDescent="0.25">
      <c r="C126" s="3" t="s">
        <v>40</v>
      </c>
      <c r="D126" s="3" t="s">
        <v>40</v>
      </c>
      <c r="E126" s="3" t="s">
        <v>7</v>
      </c>
      <c r="G126" s="3" t="s">
        <v>40</v>
      </c>
      <c r="H126" s="3" t="s">
        <v>7</v>
      </c>
      <c r="I126" s="3" t="s">
        <v>40</v>
      </c>
      <c r="J126" s="3" t="s">
        <v>40</v>
      </c>
      <c r="K126" s="3" t="s">
        <v>40</v>
      </c>
      <c r="L126" s="3" t="s">
        <v>40</v>
      </c>
      <c r="M126" s="3" t="s">
        <v>40</v>
      </c>
      <c r="N126" s="3" t="s">
        <v>40</v>
      </c>
      <c r="O126" s="3" t="s">
        <v>40</v>
      </c>
      <c r="Q126" s="3" t="s">
        <v>40</v>
      </c>
      <c r="R126" s="3" t="s">
        <v>40</v>
      </c>
      <c r="S126" s="3"/>
      <c r="T126" s="3"/>
      <c r="U126" s="3"/>
      <c r="V126" s="3"/>
      <c r="W126" s="3"/>
      <c r="X126" s="30"/>
      <c r="Y126" s="30"/>
      <c r="Z126" s="2"/>
    </row>
    <row r="127" spans="3:26" ht="12" hidden="1" customHeight="1" outlineLevel="1" x14ac:dyDescent="0.25">
      <c r="C127" s="3" t="s">
        <v>138</v>
      </c>
      <c r="D127" s="3" t="s">
        <v>48</v>
      </c>
      <c r="E127" s="56">
        <f>AVERAGE(0.75,0.8,1.15)</f>
        <v>0.9</v>
      </c>
      <c r="F127" s="56" t="s">
        <v>49</v>
      </c>
      <c r="G127" s="3" t="s">
        <v>69</v>
      </c>
      <c r="H127" s="3" t="s">
        <v>7</v>
      </c>
      <c r="I127" s="3" t="s">
        <v>69</v>
      </c>
      <c r="J127" s="3" t="s">
        <v>51</v>
      </c>
      <c r="K127" s="3" t="s">
        <v>64</v>
      </c>
      <c r="L127" s="34">
        <v>1</v>
      </c>
      <c r="M127" s="3" t="s">
        <v>69</v>
      </c>
      <c r="N127" s="34" t="s">
        <v>117</v>
      </c>
      <c r="O127" s="34" t="s">
        <v>69</v>
      </c>
      <c r="Q127" s="3" t="s">
        <v>127</v>
      </c>
      <c r="R127" s="3" t="s">
        <v>133</v>
      </c>
      <c r="S127" s="3"/>
      <c r="T127" s="30"/>
      <c r="U127" s="30"/>
      <c r="V127" s="30"/>
      <c r="W127" s="30"/>
      <c r="X127" s="30"/>
      <c r="Y127" s="30"/>
      <c r="Z127" s="2"/>
    </row>
    <row r="128" spans="3:26" ht="12" hidden="1" customHeight="1" outlineLevel="1" x14ac:dyDescent="0.25">
      <c r="C128" s="3" t="s">
        <v>29</v>
      </c>
      <c r="D128" s="3" t="s">
        <v>0</v>
      </c>
      <c r="E128" s="56">
        <f>K109</f>
        <v>3.24</v>
      </c>
      <c r="F128" s="56" t="s">
        <v>49</v>
      </c>
      <c r="G128" s="3" t="s">
        <v>4</v>
      </c>
      <c r="H128" s="57">
        <v>2.5000000000000001E-2</v>
      </c>
      <c r="I128" s="3" t="s">
        <v>41</v>
      </c>
      <c r="J128" s="3" t="s">
        <v>50</v>
      </c>
      <c r="K128" s="3" t="s">
        <v>45</v>
      </c>
      <c r="L128" s="34">
        <v>2</v>
      </c>
      <c r="M128" s="3" t="s">
        <v>48</v>
      </c>
      <c r="N128" s="34" t="s">
        <v>118</v>
      </c>
      <c r="O128" s="3" t="s">
        <v>125</v>
      </c>
      <c r="P128" s="79">
        <f>I145</f>
        <v>1.375</v>
      </c>
      <c r="Q128" s="3" t="s">
        <v>129</v>
      </c>
      <c r="R128" s="3" t="s">
        <v>134</v>
      </c>
      <c r="S128" s="3"/>
      <c r="T128" s="30"/>
      <c r="U128" s="30"/>
      <c r="V128" s="30"/>
      <c r="W128" s="30"/>
      <c r="X128" s="30"/>
      <c r="Y128" s="30"/>
      <c r="Z128" s="2"/>
    </row>
    <row r="129" spans="3:26" ht="12" hidden="1" customHeight="1" outlineLevel="1" x14ac:dyDescent="0.25">
      <c r="C129" s="3" t="s">
        <v>30</v>
      </c>
      <c r="D129" s="3" t="s">
        <v>1</v>
      </c>
      <c r="E129" s="56">
        <f>J112</f>
        <v>3.07</v>
      </c>
      <c r="F129" s="56" t="s">
        <v>49</v>
      </c>
      <c r="G129" s="3" t="s">
        <v>27</v>
      </c>
      <c r="H129" s="3">
        <v>0.39960000000000001</v>
      </c>
      <c r="I129" s="3" t="s">
        <v>42</v>
      </c>
      <c r="K129" s="3" t="s">
        <v>91</v>
      </c>
      <c r="L129" s="34">
        <v>3</v>
      </c>
      <c r="M129" s="3" t="s">
        <v>1</v>
      </c>
      <c r="N129" s="34"/>
      <c r="O129" s="34" t="s">
        <v>124</v>
      </c>
      <c r="P129" s="79">
        <f>I146</f>
        <v>21.978000000000002</v>
      </c>
      <c r="R129" s="3" t="s">
        <v>137</v>
      </c>
      <c r="S129" s="3"/>
      <c r="T129" s="30"/>
      <c r="U129" s="30"/>
      <c r="V129" s="30"/>
      <c r="W129" s="30"/>
      <c r="X129" s="30"/>
      <c r="Y129" s="30"/>
      <c r="Z129" s="2"/>
    </row>
    <row r="130" spans="3:26" ht="12" hidden="1" customHeight="1" outlineLevel="1" x14ac:dyDescent="0.25">
      <c r="C130" s="3" t="s">
        <v>31</v>
      </c>
      <c r="G130" s="34"/>
      <c r="H130" s="34"/>
      <c r="K130" s="34" t="s">
        <v>95</v>
      </c>
      <c r="L130" s="34">
        <v>4</v>
      </c>
      <c r="M130" s="34"/>
      <c r="N130" s="34"/>
      <c r="O130" s="34"/>
      <c r="R130" s="3" t="s">
        <v>69</v>
      </c>
      <c r="S130" s="3"/>
      <c r="T130" s="30"/>
      <c r="U130" s="30"/>
      <c r="V130" s="30"/>
      <c r="W130" s="30"/>
      <c r="X130" s="30"/>
      <c r="Y130" s="30"/>
      <c r="Z130" s="2"/>
    </row>
    <row r="131" spans="3:26" ht="12" hidden="1" customHeight="1" outlineLevel="1" x14ac:dyDescent="0.25">
      <c r="C131" s="3" t="s">
        <v>55</v>
      </c>
      <c r="L131" s="34">
        <v>5</v>
      </c>
      <c r="M131" s="34"/>
      <c r="S131" s="3"/>
      <c r="T131" s="30"/>
      <c r="U131" s="30"/>
      <c r="V131" s="30"/>
      <c r="W131" s="30"/>
      <c r="X131" s="30"/>
      <c r="Y131" s="30"/>
      <c r="Z131" s="2"/>
    </row>
    <row r="132" spans="3:26" ht="12" hidden="1" customHeight="1" outlineLevel="1" x14ac:dyDescent="0.25">
      <c r="C132" s="3" t="s">
        <v>32</v>
      </c>
      <c r="H132" s="34"/>
      <c r="I132" s="34"/>
      <c r="J132" s="34"/>
      <c r="K132" s="34"/>
      <c r="L132" s="34">
        <v>6</v>
      </c>
      <c r="M132" s="34"/>
      <c r="S132" s="3"/>
      <c r="T132" s="43" t="s">
        <v>58</v>
      </c>
      <c r="U132" s="43"/>
      <c r="V132" s="44" t="e">
        <f>IF(E10=Q127,E65*E40,E65*E40*E11)</f>
        <v>#VALUE!</v>
      </c>
      <c r="W132" s="30" t="str">
        <f>IF(E6=N127,"EUR netto",IF(E6=N128,"EUR brutto",""))</f>
        <v/>
      </c>
      <c r="X132" s="30"/>
      <c r="Y132" s="30"/>
      <c r="Z132" s="2"/>
    </row>
    <row r="133" spans="3:26" ht="12" hidden="1" customHeight="1" outlineLevel="1" x14ac:dyDescent="0.25">
      <c r="C133" s="3" t="s">
        <v>33</v>
      </c>
      <c r="H133" s="34"/>
      <c r="I133" s="34"/>
      <c r="J133" s="34"/>
      <c r="K133" s="34"/>
      <c r="L133" s="34">
        <v>7</v>
      </c>
      <c r="M133" s="34"/>
      <c r="S133" s="3"/>
      <c r="T133" s="43" t="s">
        <v>63</v>
      </c>
      <c r="U133" s="43"/>
      <c r="V133" s="44" t="e">
        <f>V132-V125</f>
        <v>#VALUE!</v>
      </c>
      <c r="W133" s="30" t="str">
        <f>IF(E6=N127,"EUR netto",IF(E6=N128,"EUR brutto",""))</f>
        <v/>
      </c>
      <c r="X133" s="30"/>
      <c r="Y133" s="30"/>
      <c r="Z133" s="2"/>
    </row>
    <row r="134" spans="3:26" ht="12" hidden="1" customHeight="1" outlineLevel="1" x14ac:dyDescent="0.25">
      <c r="C134" s="3" t="s">
        <v>34</v>
      </c>
      <c r="H134" s="34"/>
      <c r="I134" s="34"/>
      <c r="J134" s="34"/>
      <c r="K134" s="34"/>
      <c r="L134" s="34">
        <v>8</v>
      </c>
      <c r="M134" s="34"/>
      <c r="S134" s="30"/>
      <c r="T134" s="43" t="s">
        <v>62</v>
      </c>
      <c r="U134" s="43"/>
      <c r="V134" s="44" t="e">
        <f>V133+E66+E67*E14</f>
        <v>#VALUE!</v>
      </c>
      <c r="W134" s="30" t="str">
        <f>IF(E6=N127,"EUR netto",IF(E6=N128,"EUR brutto",""))</f>
        <v/>
      </c>
      <c r="X134" s="30"/>
      <c r="Y134" s="30"/>
      <c r="Z134" s="2"/>
    </row>
    <row r="135" spans="3:26" ht="12" hidden="1" customHeight="1" outlineLevel="1" x14ac:dyDescent="0.25">
      <c r="C135" s="3" t="s">
        <v>35</v>
      </c>
      <c r="L135" s="3">
        <v>9</v>
      </c>
      <c r="S135" s="30"/>
      <c r="T135" s="43" t="s">
        <v>59</v>
      </c>
      <c r="U135" s="43"/>
      <c r="V135" s="85">
        <v>0.8</v>
      </c>
      <c r="W135" s="43"/>
      <c r="X135" s="30"/>
      <c r="Y135" s="30"/>
      <c r="Z135" s="2"/>
    </row>
    <row r="136" spans="3:26" ht="12" hidden="1" customHeight="1" outlineLevel="1" x14ac:dyDescent="0.25">
      <c r="L136" s="3">
        <v>10</v>
      </c>
      <c r="S136" s="30"/>
      <c r="T136" s="43" t="s">
        <v>60</v>
      </c>
      <c r="U136" s="43"/>
      <c r="V136" s="44" t="e">
        <f>V135*V134</f>
        <v>#VALUE!</v>
      </c>
      <c r="W136" s="30" t="s">
        <v>120</v>
      </c>
      <c r="X136" s="30"/>
      <c r="Y136" s="30"/>
      <c r="Z136" s="2"/>
    </row>
    <row r="137" spans="3:26" ht="12" hidden="1" customHeight="1" outlineLevel="1" x14ac:dyDescent="0.25">
      <c r="S137" s="30"/>
      <c r="T137" s="30"/>
      <c r="U137" s="30"/>
      <c r="V137" s="30"/>
      <c r="W137" s="30"/>
      <c r="X137" s="30"/>
      <c r="Y137" s="30"/>
      <c r="Z137" s="2"/>
    </row>
    <row r="138" spans="3:26" ht="12" hidden="1" customHeight="1" outlineLevel="1" x14ac:dyDescent="0.25">
      <c r="S138" s="30"/>
      <c r="T138" s="43"/>
      <c r="U138" s="49"/>
      <c r="V138" s="49"/>
      <c r="W138" s="43"/>
      <c r="X138" s="43" t="s">
        <v>81</v>
      </c>
      <c r="Y138" s="43" t="s">
        <v>82</v>
      </c>
      <c r="Z138" s="2" t="s">
        <v>94</v>
      </c>
    </row>
    <row r="139" spans="3:26" ht="12" hidden="1" customHeight="1" outlineLevel="1" x14ac:dyDescent="0.25">
      <c r="S139" s="30"/>
      <c r="T139" s="43" t="s">
        <v>66</v>
      </c>
      <c r="U139" s="30" t="s">
        <v>77</v>
      </c>
      <c r="V139" s="51">
        <f>MAX(E47:E48)</f>
        <v>0</v>
      </c>
      <c r="W139" s="43" t="s">
        <v>3</v>
      </c>
      <c r="X139" s="52">
        <f>IF(E60=G128,H128,IF(E60=G129,H129,0))</f>
        <v>0</v>
      </c>
      <c r="Y139" s="53" t="e">
        <f>IF(OR(E11&gt;=12,E10=Q127),X139*V139*E43*E40,(X139*V139*E43*E40)*E11)</f>
        <v>#VALUE!</v>
      </c>
      <c r="Z139" s="2">
        <f>IF(E46=I127,0,1)</f>
        <v>1</v>
      </c>
    </row>
    <row r="140" spans="3:26" ht="12" hidden="1" customHeight="1" outlineLevel="1" x14ac:dyDescent="0.25">
      <c r="S140" s="30"/>
      <c r="T140" s="43" t="s">
        <v>67</v>
      </c>
      <c r="U140" s="30" t="s">
        <v>77</v>
      </c>
      <c r="V140" s="51">
        <f>MAX(E50:E51)/100</f>
        <v>0</v>
      </c>
      <c r="W140" s="43" t="s">
        <v>75</v>
      </c>
      <c r="X140" s="52">
        <f>E128</f>
        <v>3.24</v>
      </c>
      <c r="Y140" s="53" t="e">
        <f>IF(OR(E11&gt;=12,E10=Q127),X140*V140*E43*E40,(X140*V140*E43*E40)*E11)</f>
        <v>#VALUE!</v>
      </c>
      <c r="Z140" s="2">
        <f>IF(E49=I127,0,1)</f>
        <v>1</v>
      </c>
    </row>
    <row r="141" spans="3:26" ht="12" hidden="1" customHeight="1" outlineLevel="1" x14ac:dyDescent="0.25">
      <c r="I141" s="3">
        <v>55</v>
      </c>
      <c r="J141" s="3" t="s">
        <v>96</v>
      </c>
      <c r="S141" s="30"/>
      <c r="T141" s="43" t="s">
        <v>68</v>
      </c>
      <c r="U141" s="30" t="s">
        <v>77</v>
      </c>
      <c r="V141" s="51">
        <f>MAX(E53:E54)/100</f>
        <v>0</v>
      </c>
      <c r="W141" s="43" t="s">
        <v>76</v>
      </c>
      <c r="X141" s="52">
        <f>IF(E61=D127,E127,IF(E61=D129,E129,0))</f>
        <v>0</v>
      </c>
      <c r="Y141" s="53" t="e">
        <f>IF(OR(E11&gt;=12,E10=Q127),X141*V141*E43*E40,(X141*V141*E43*E40)*E11)</f>
        <v>#VALUE!</v>
      </c>
      <c r="Z141" s="2">
        <f>IF(E52=I127,0,1)</f>
        <v>1</v>
      </c>
    </row>
    <row r="142" spans="3:26" ht="12" hidden="1" customHeight="1" outlineLevel="1" x14ac:dyDescent="0.25">
      <c r="I142" s="3">
        <f>H128*1000</f>
        <v>25</v>
      </c>
      <c r="J142" s="3" t="s">
        <v>97</v>
      </c>
      <c r="S142" s="30"/>
      <c r="T142" s="43" t="s">
        <v>73</v>
      </c>
      <c r="U142" s="30" t="s">
        <v>77</v>
      </c>
      <c r="V142" s="51">
        <f>MAX(E56:E57)/100</f>
        <v>0</v>
      </c>
      <c r="W142" s="43" t="s">
        <v>76</v>
      </c>
      <c r="X142" s="55">
        <f>IF(E62=O128,P128,IF(E62=O129,P129,0))</f>
        <v>0</v>
      </c>
      <c r="Y142" s="53" t="e">
        <f>IF(OR(E11&gt;=12,E10=Q127),X142*V142*E43*E40,(X142*V142*E43*E40)*E11)</f>
        <v>#VALUE!</v>
      </c>
      <c r="Z142" s="2">
        <f>IF(E55=I127,0,1)</f>
        <v>1</v>
      </c>
    </row>
    <row r="143" spans="3:26" ht="12" hidden="1" customHeight="1" outlineLevel="1" x14ac:dyDescent="0.25">
      <c r="I143" s="3">
        <f>H129*1000</f>
        <v>399.6</v>
      </c>
      <c r="J143" s="3" t="s">
        <v>98</v>
      </c>
      <c r="S143" s="30"/>
      <c r="T143" s="43"/>
      <c r="U143" s="49"/>
      <c r="V143" s="30"/>
      <c r="W143" s="43"/>
      <c r="X143" s="43" t="s">
        <v>83</v>
      </c>
      <c r="Y143" s="53" t="e">
        <f>SUMPRODUCT(Y139:Y142,Z139:Z142)</f>
        <v>#VALUE!</v>
      </c>
      <c r="Z143" s="2"/>
    </row>
    <row r="144" spans="3:26" ht="12" hidden="1" customHeight="1" outlineLevel="1" x14ac:dyDescent="0.25">
      <c r="S144" s="30"/>
      <c r="T144" s="43" t="s">
        <v>84</v>
      </c>
      <c r="U144" s="49"/>
      <c r="V144" s="44">
        <f>E24/100</f>
        <v>0</v>
      </c>
      <c r="W144" s="43" t="str">
        <f>IF(E23='CO2-Rechner'!D128,"l/kg",IF(E23='CO2-Rechner'!D129,"kg/km",IF(E23='CO2-Rechner'!D127,"kg/km","")))</f>
        <v/>
      </c>
      <c r="X144" s="30" t="str">
        <f>IF(E23='CO2-Rechner'!D126,'CO2-Rechner'!E126,IF(E23='CO2-Rechner'!D128,'CO2-Rechner'!E128,IF(E23='CO2-Rechner'!D129,'CO2-Rechner'!E129,IF(E23='CO2-Rechner'!D127,'CO2-Rechner'!E127,"error"))))</f>
        <v>k.A.</v>
      </c>
      <c r="Y144" s="53" t="e">
        <f>IF(OR(E11&gt;=12,E10=Q127),X144*V144*E25*E40,X144*V144*E25*E40*E11)</f>
        <v>#VALUE!</v>
      </c>
      <c r="Z144" s="2"/>
    </row>
    <row r="145" spans="9:26" ht="12" hidden="1" customHeight="1" outlineLevel="1" x14ac:dyDescent="0.25">
      <c r="I145" s="59">
        <f>I141*I142/1000</f>
        <v>1.375</v>
      </c>
      <c r="J145" s="3" t="s">
        <v>99</v>
      </c>
      <c r="S145" s="30"/>
      <c r="T145" s="30"/>
      <c r="U145" s="30"/>
      <c r="V145" s="30"/>
      <c r="W145" s="30"/>
      <c r="X145" s="30"/>
      <c r="Y145" s="30"/>
      <c r="Z145" s="2"/>
    </row>
    <row r="146" spans="9:26" ht="12" hidden="1" customHeight="1" outlineLevel="1" x14ac:dyDescent="0.25">
      <c r="I146" s="59">
        <f>I143*I141/1000</f>
        <v>21.978000000000002</v>
      </c>
      <c r="J146" s="3" t="s">
        <v>100</v>
      </c>
      <c r="S146" s="30"/>
      <c r="T146" s="58" t="s">
        <v>46</v>
      </c>
      <c r="U146" s="30"/>
      <c r="V146" s="30"/>
      <c r="W146" s="30"/>
      <c r="X146" s="30"/>
      <c r="Y146" s="30"/>
      <c r="Z146" s="2"/>
    </row>
    <row r="147" spans="9:26" ht="12" hidden="1" customHeight="1" outlineLevel="1" x14ac:dyDescent="0.25">
      <c r="I147" s="79">
        <f>AVERAGE(I145:I146)</f>
        <v>11.676500000000001</v>
      </c>
      <c r="J147" s="3" t="s">
        <v>123</v>
      </c>
      <c r="S147" s="30"/>
      <c r="T147" s="30">
        <f>IF(OR(D6=0,D10=0,D11=0,D12=0,D13=0,D14=0,D40=0,D22=0,D23=0,D25=0,D24=0,D31=0,D41=0,D42=0,D45=0,D46=0,D47=0,D48=0,D49=0,D50=0,D51=0,D52=0,D53=0,D54=0,D55=0,D56=0,D57=0,D60=0,D61=0,D62=0,D65=0,D67=0),0,1)</f>
        <v>0</v>
      </c>
      <c r="U147" s="30"/>
      <c r="V147" s="30"/>
      <c r="W147" s="30"/>
      <c r="X147" s="30"/>
      <c r="Y147" s="30"/>
      <c r="Z147" s="2"/>
    </row>
    <row r="148" spans="9:26" ht="12" hidden="1" customHeight="1" outlineLevel="1" x14ac:dyDescent="0.25">
      <c r="I148" s="3" t="s">
        <v>101</v>
      </c>
      <c r="S148" s="30"/>
      <c r="T148" s="30" t="s">
        <v>79</v>
      </c>
      <c r="U148" s="30"/>
      <c r="V148" s="30"/>
      <c r="W148" s="30"/>
      <c r="X148" s="30"/>
      <c r="Y148" s="30"/>
      <c r="Z148" s="2"/>
    </row>
    <row r="149" spans="9:26" ht="12" hidden="1" customHeight="1" outlineLevel="1" x14ac:dyDescent="0.25">
      <c r="I149" s="3">
        <v>12</v>
      </c>
      <c r="J149" s="3" t="s">
        <v>53</v>
      </c>
      <c r="S149" s="30"/>
      <c r="T149" s="30" t="s">
        <v>80</v>
      </c>
      <c r="U149" s="30"/>
      <c r="V149" s="30"/>
      <c r="W149" s="30"/>
      <c r="X149" s="30"/>
      <c r="Y149" s="30"/>
      <c r="Z149" s="2"/>
    </row>
    <row r="150" spans="9:26" ht="12" hidden="1" customHeight="1" outlineLevel="1" x14ac:dyDescent="0.25">
      <c r="I150" s="3">
        <f>I149/100</f>
        <v>0.12</v>
      </c>
      <c r="J150" s="3" t="s">
        <v>76</v>
      </c>
      <c r="S150" s="30"/>
      <c r="T150" s="30"/>
      <c r="U150" s="30"/>
      <c r="V150" s="30"/>
      <c r="W150" s="30"/>
      <c r="X150" s="30"/>
    </row>
    <row r="151" spans="9:26" ht="12" hidden="1" customHeight="1" outlineLevel="1" x14ac:dyDescent="0.25">
      <c r="I151" s="60">
        <f>I150*I145</f>
        <v>0.16499999999999998</v>
      </c>
      <c r="J151" s="3" t="s">
        <v>105</v>
      </c>
      <c r="S151" s="30"/>
      <c r="T151" s="30"/>
      <c r="U151" s="30"/>
      <c r="V151" s="30"/>
      <c r="W151" s="30"/>
      <c r="X151" s="30"/>
    </row>
    <row r="152" spans="9:26" ht="12" hidden="1" customHeight="1" outlineLevel="1" x14ac:dyDescent="0.25">
      <c r="I152" s="60">
        <f>I146*I150</f>
        <v>2.6373600000000001</v>
      </c>
      <c r="J152" s="3" t="s">
        <v>106</v>
      </c>
      <c r="S152" s="30"/>
      <c r="T152" s="30"/>
      <c r="U152" s="30"/>
      <c r="V152" s="30"/>
      <c r="W152" s="30"/>
      <c r="X152" s="30"/>
    </row>
    <row r="153" spans="9:26" ht="12" hidden="1" customHeight="1" outlineLevel="1" x14ac:dyDescent="0.25">
      <c r="I153" s="60">
        <f>I147*I150</f>
        <v>1.4011800000000001</v>
      </c>
      <c r="J153" s="3" t="s">
        <v>122</v>
      </c>
      <c r="S153" s="30"/>
      <c r="T153" s="30"/>
      <c r="U153" s="30"/>
      <c r="V153" s="30"/>
      <c r="W153" s="30"/>
      <c r="X153" s="30"/>
    </row>
    <row r="154" spans="9:26" ht="12" hidden="1" customHeight="1" outlineLevel="1" x14ac:dyDescent="0.25">
      <c r="I154" s="3" t="s">
        <v>102</v>
      </c>
      <c r="S154" s="30"/>
      <c r="T154" s="30"/>
      <c r="U154" s="30"/>
      <c r="V154" s="30"/>
      <c r="W154" s="30"/>
      <c r="X154" s="30"/>
    </row>
    <row r="155" spans="9:26" ht="12" hidden="1" customHeight="1" outlineLevel="1" x14ac:dyDescent="0.25">
      <c r="I155" s="3">
        <v>45</v>
      </c>
      <c r="J155" s="3" t="s">
        <v>74</v>
      </c>
    </row>
    <row r="156" spans="9:26" ht="12" hidden="1" customHeight="1" outlineLevel="1" x14ac:dyDescent="0.25">
      <c r="I156" s="3">
        <f>I155/100</f>
        <v>0.45</v>
      </c>
      <c r="J156" s="3" t="s">
        <v>75</v>
      </c>
    </row>
    <row r="157" spans="9:26" ht="12" hidden="1" customHeight="1" outlineLevel="1" x14ac:dyDescent="0.25">
      <c r="I157" s="3">
        <v>3.24</v>
      </c>
      <c r="J157" s="3" t="s">
        <v>103</v>
      </c>
    </row>
    <row r="158" spans="9:26" ht="12" hidden="1" customHeight="1" outlineLevel="1" x14ac:dyDescent="0.25">
      <c r="I158" s="61">
        <f>I156*I157</f>
        <v>1.4580000000000002</v>
      </c>
      <c r="J158" s="3" t="s">
        <v>104</v>
      </c>
    </row>
    <row r="159" spans="9:26" ht="12" hidden="1" customHeight="1" outlineLevel="1" x14ac:dyDescent="0.25"/>
    <row r="160" spans="9:26" ht="12" hidden="1" customHeight="1" outlineLevel="1" x14ac:dyDescent="0.25">
      <c r="I160" s="3" t="s">
        <v>107</v>
      </c>
    </row>
    <row r="161" spans="9:10" ht="12" hidden="1" customHeight="1" outlineLevel="1" x14ac:dyDescent="0.25">
      <c r="I161" s="3">
        <v>42</v>
      </c>
      <c r="J161" s="3" t="s">
        <v>53</v>
      </c>
    </row>
    <row r="162" spans="9:10" ht="12" hidden="1" customHeight="1" outlineLevel="1" x14ac:dyDescent="0.25">
      <c r="I162" s="3">
        <f>I161/100</f>
        <v>0.42</v>
      </c>
      <c r="J162" s="3" t="s">
        <v>75</v>
      </c>
    </row>
    <row r="163" spans="9:10" ht="12" hidden="1" customHeight="1" outlineLevel="1" x14ac:dyDescent="0.25">
      <c r="I163" s="3">
        <f>0.9</f>
        <v>0.9</v>
      </c>
      <c r="J163" s="3" t="s">
        <v>108</v>
      </c>
    </row>
    <row r="164" spans="9:10" ht="12" hidden="1" customHeight="1" outlineLevel="1" x14ac:dyDescent="0.25">
      <c r="I164" s="61">
        <f>I162*I163</f>
        <v>0.378</v>
      </c>
      <c r="J164" s="3" t="s">
        <v>104</v>
      </c>
    </row>
    <row r="165" spans="9:10" ht="12" hidden="1" customHeight="1" outlineLevel="1" x14ac:dyDescent="0.25"/>
    <row r="166" spans="9:10" ht="12" customHeight="1" collapsed="1" x14ac:dyDescent="0.25"/>
  </sheetData>
  <sheetProtection algorithmName="SHA-512" hashValue="/2pg7XdDUKMiH/bbmOKV6fTopmGRjWABoSJlyTM0sHDXJXpF5np3BF/t+UJgdP0kjgsGInlZS7DiJRCXni3L7g==" saltValue="VLSpjsg+7koQtESe0+W+pg==" spinCount="100000" sheet="1" objects="1" scenarios="1" selectLockedCells="1"/>
  <dataConsolidate/>
  <mergeCells count="2">
    <mergeCell ref="C29:G30"/>
    <mergeCell ref="B2:G3"/>
  </mergeCells>
  <conditionalFormatting sqref="E79">
    <cfRule type="containsText" dxfId="3" priority="66" operator="containsText" text="nein">
      <formula>NOT(ISERROR(SEARCH("nein",E79)))</formula>
    </cfRule>
    <cfRule type="containsText" dxfId="2" priority="67" operator="containsText" text="ja">
      <formula>NOT(ISERROR(SEARCH("ja",E79)))</formula>
    </cfRule>
  </conditionalFormatting>
  <conditionalFormatting sqref="U125">
    <cfRule type="iconSet" priority="42">
      <iconSet iconSet="3Symbols">
        <cfvo type="percent" val="0"/>
        <cfvo type="percent" val="0"/>
        <cfvo type="percent" val="1"/>
      </iconSet>
    </cfRule>
  </conditionalFormatting>
  <conditionalFormatting sqref="U139:U142">
    <cfRule type="iconSet" priority="68">
      <iconSet iconSet="3Symbols">
        <cfvo type="percent" val="0"/>
        <cfvo type="percent" val="0"/>
        <cfvo type="percent" val="1"/>
      </iconSet>
    </cfRule>
  </conditionalFormatting>
  <conditionalFormatting sqref="E68 D41:D68">
    <cfRule type="iconSet" priority="74">
      <iconSet iconSet="3Symbols">
        <cfvo type="percent" val="0"/>
        <cfvo type="num" val="0"/>
        <cfvo type="num" val="1"/>
      </iconSet>
    </cfRule>
  </conditionalFormatting>
  <conditionalFormatting sqref="D69 D27:D28 D31:D33 D35">
    <cfRule type="iconSet" priority="79">
      <iconSet iconSet="3Symbols">
        <cfvo type="percent" val="0"/>
        <cfvo type="num" val="0"/>
        <cfvo type="num" val="1"/>
      </iconSet>
    </cfRule>
  </conditionalFormatting>
  <conditionalFormatting sqref="G31:G33 G20:G28 G35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">
    <cfRule type="iconSet" priority="23">
      <iconSet iconSet="3Symbols">
        <cfvo type="percent" val="0"/>
        <cfvo type="percent" val="0"/>
        <cfvo type="percent" val="1"/>
      </iconSet>
    </cfRule>
  </conditionalFormatting>
  <conditionalFormatting sqref="D6:D9 D12 D15:D25 D40">
    <cfRule type="iconSet" priority="21">
      <iconSet iconSet="3Symbols">
        <cfvo type="percent" val="0"/>
        <cfvo type="num" val="0"/>
        <cfvo type="num" val="1"/>
      </iconSet>
    </cfRule>
  </conditionalFormatting>
  <conditionalFormatting sqref="C87:F89">
    <cfRule type="containsText" dxfId="1" priority="19" operator="containsText" text="nein">
      <formula>NOT(ISERROR(SEARCH("nein",C87)))</formula>
    </cfRule>
    <cfRule type="containsText" dxfId="0" priority="20" operator="containsText" text="ja">
      <formula>NOT(ISERROR(SEARCH("ja",C87)))</formula>
    </cfRule>
  </conditionalFormatting>
  <conditionalFormatting sqref="D12">
    <cfRule type="iconSet" priority="16">
      <iconSet iconSet="3Symbols">
        <cfvo type="percent" val="0"/>
        <cfvo type="num" val="0"/>
        <cfvo type="num" val="1"/>
      </iconSet>
    </cfRule>
  </conditionalFormatting>
  <conditionalFormatting sqref="D13">
    <cfRule type="iconSet" priority="11">
      <iconSet iconSet="3Symbols">
        <cfvo type="percent" val="0"/>
        <cfvo type="num" val="0"/>
        <cfvo type="num" val="1"/>
      </iconSet>
    </cfRule>
  </conditionalFormatting>
  <conditionalFormatting sqref="D13">
    <cfRule type="iconSet" priority="10">
      <iconSet iconSet="3Symbols">
        <cfvo type="percent" val="0"/>
        <cfvo type="num" val="0"/>
        <cfvo type="num" val="1"/>
      </iconSet>
    </cfRule>
  </conditionalFormatting>
  <conditionalFormatting sqref="D26">
    <cfRule type="iconSet" priority="7">
      <iconSet iconSet="3Symbols">
        <cfvo type="percent" val="0"/>
        <cfvo type="num" val="0"/>
        <cfvo type="num" val="1"/>
      </iconSet>
    </cfRule>
  </conditionalFormatting>
  <conditionalFormatting sqref="D14">
    <cfRule type="iconSet" priority="4">
      <iconSet iconSet="3Symbols">
        <cfvo type="percent" val="0"/>
        <cfvo type="num" val="0"/>
        <cfvo type="num" val="1"/>
      </iconSet>
    </cfRule>
  </conditionalFormatting>
  <conditionalFormatting sqref="D14">
    <cfRule type="iconSet" priority="3">
      <iconSet iconSet="3Symbols">
        <cfvo type="percent" val="0"/>
        <cfvo type="num" val="0"/>
        <cfvo type="num" val="1"/>
      </iconSet>
    </cfRule>
  </conditionalFormatting>
  <conditionalFormatting sqref="D10:D11">
    <cfRule type="iconSet" priority="2">
      <iconSet iconSet="3Symbols">
        <cfvo type="percent" val="0"/>
        <cfvo type="num" val="0"/>
        <cfvo type="num" val="1"/>
      </iconSet>
    </cfRule>
  </conditionalFormatting>
  <conditionalFormatting sqref="D10:D11">
    <cfRule type="iconSet" priority="1">
      <iconSet iconSet="3Symbols">
        <cfvo type="percent" val="0"/>
        <cfvo type="num" val="0"/>
        <cfvo type="num" val="1"/>
      </iconSet>
    </cfRule>
  </conditionalFormatting>
  <dataValidations count="18">
    <dataValidation type="list" allowBlank="1" showInputMessage="1" showErrorMessage="1" sqref="E60">
      <formula1>Stromart</formula1>
    </dataValidation>
    <dataValidation type="list" allowBlank="1" showInputMessage="1" showErrorMessage="1" sqref="E23">
      <formula1>Kraftstoffart</formula1>
    </dataValidation>
    <dataValidation type="list" allowBlank="1" showInputMessage="1" showErrorMessage="1" sqref="E55 E46 E49 E52">
      <formula1>QuelleWerte</formula1>
    </dataValidation>
    <dataValidation type="list" allowBlank="1" showInputMessage="1" showErrorMessage="1" sqref="E22 E41">
      <formula1>Fahrzeugtyp</formula1>
    </dataValidation>
    <dataValidation type="whole" operator="greaterThanOrEqual" allowBlank="1" showInputMessage="1" showErrorMessage="1" error="Eingabewert muss größer oder gleich null sein. Nur Ganzzahlen zulässig." sqref="E25">
      <formula1>0</formula1>
    </dataValidation>
    <dataValidation type="decimal" operator="greaterThanOrEqual" allowBlank="1" showInputMessage="1" showErrorMessage="1" error="Eingabewert soll größer oder gleich null sein" sqref="E24 V135 E31 E67">
      <formula1>0</formula1>
    </dataValidation>
    <dataValidation type="list" allowBlank="1" showInputMessage="1" showErrorMessage="1" sqref="E12">
      <formula1>Beschaffung</formula1>
    </dataValidation>
    <dataValidation type="list" allowBlank="1" showInputMessage="1" showErrorMessage="1" sqref="E42">
      <formula1>Antrieb</formula1>
    </dataValidation>
    <dataValidation type="list" operator="greaterThanOrEqual" allowBlank="1" showInputMessage="1" showErrorMessage="1" error="Eingabewert soll größer oder gleich null sein" sqref="E40">
      <formula1>AnzahlFz</formula1>
    </dataValidation>
    <dataValidation type="decimal" operator="greaterThan" allowBlank="1" showInputMessage="1" showErrorMessage="1" error="Zahlen größer als Null eingeben" sqref="E48 E51 E54 E57">
      <formula1>0</formula1>
    </dataValidation>
    <dataValidation type="list" allowBlank="1" showInputMessage="1" showErrorMessage="1" sqref="E61">
      <formula1>Gastyp</formula1>
    </dataValidation>
    <dataValidation type="list" allowBlank="1" showInputMessage="1" showErrorMessage="1" sqref="E6">
      <formula1>Vorsteuerabzugsberechtigung</formula1>
    </dataValidation>
    <dataValidation type="list" allowBlank="1" showInputMessage="1" showErrorMessage="1" sqref="E62">
      <formula1>Wasserstoffmix</formula1>
    </dataValidation>
    <dataValidation type="list" allowBlank="1" showInputMessage="1" showErrorMessage="1" sqref="E10">
      <formula1>KaufLeasingMiete</formula1>
    </dataValidation>
    <dataValidation type="decimal" operator="greaterThanOrEqual" allowBlank="1" showInputMessage="1" showErrorMessage="1" error="Neufahrzeug soll teurer als Referenzfahrzeug sein" sqref="E65">
      <formula1>E31</formula1>
    </dataValidation>
    <dataValidation type="decimal" operator="greaterThanOrEqual" allowBlank="1" showInputMessage="1" showErrorMessage="1" error="Neufahrzeug soll teurer als Referenzfahrzeug sein" sqref="E66">
      <formula1>E33</formula1>
    </dataValidation>
    <dataValidation type="list" allowBlank="1" showInputMessage="1" showErrorMessage="1" sqref="E13">
      <formula1>Beschaffung_Infrastruktur</formula1>
    </dataValidation>
    <dataValidation type="whole" operator="greaterThanOrEqual" allowBlank="1" showInputMessage="1" showErrorMessage="1" error="Eingabewert muss größer oder gleich null sein. Nur Ganzzahlen zulässig." sqref="E11 E14">
      <formula1>0</formula1>
    </dataValidation>
  </dataValidations>
  <pageMargins left="0.70866141732283472" right="0.70866141732283472" top="0.59055118110236227" bottom="0.59055118110236227" header="0.31496062992125984" footer="0.31496062992125984"/>
  <pageSetup paperSize="9" scale="8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Button 2">
              <controlPr defaultSize="0" print="0" autoFill="0" autoPict="0" macro="[0]!Makro2_Reset">
                <anchor moveWithCells="1" sizeWithCells="1">
                  <from>
                    <xdr:col>4</xdr:col>
                    <xdr:colOff>9525</xdr:colOff>
                    <xdr:row>80</xdr:row>
                    <xdr:rowOff>95250</xdr:rowOff>
                  </from>
                  <to>
                    <xdr:col>4</xdr:col>
                    <xdr:colOff>1847850</xdr:colOff>
                    <xdr:row>82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13</vt:i4>
      </vt:variant>
    </vt:vector>
  </HeadingPairs>
  <TitlesOfParts>
    <vt:vector size="14" baseType="lpstr">
      <vt:lpstr>CO2-Rechner</vt:lpstr>
      <vt:lpstr>Antrieb</vt:lpstr>
      <vt:lpstr>AnzahlFz</vt:lpstr>
      <vt:lpstr>Beschaffung</vt:lpstr>
      <vt:lpstr>Beschaffung_Infrastruktur</vt:lpstr>
      <vt:lpstr>'CO2-Rechner'!Druckbereich</vt:lpstr>
      <vt:lpstr>Fahrzeugtyp</vt:lpstr>
      <vt:lpstr>Gastyp</vt:lpstr>
      <vt:lpstr>KaufLeasingMiete</vt:lpstr>
      <vt:lpstr>Kraftstoffart</vt:lpstr>
      <vt:lpstr>QuelleWerte</vt:lpstr>
      <vt:lpstr>Stromart</vt:lpstr>
      <vt:lpstr>Vorsteuerabzugsberechtigung</vt:lpstr>
      <vt:lpstr>Wasserstoffmix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Ledoujet, Brieg</dc:creator>
  <cp:lastModifiedBy>Wiegandt, Anton</cp:lastModifiedBy>
  <cp:lastPrinted>2017-01-16T14:42:55Z</cp:lastPrinted>
  <dcterms:created xsi:type="dcterms:W3CDTF">2016-03-30T12:04:54Z</dcterms:created>
  <dcterms:modified xsi:type="dcterms:W3CDTF">2017-09-19T13:14:11Z</dcterms:modified>
</cp:coreProperties>
</file>